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 Propuesta Tecnologias Tratamiento y Piscicultura\Actualizacion 2023\Contenidos 23\"/>
    </mc:Choice>
  </mc:AlternateContent>
  <xr:revisionPtr revIDLastSave="0" documentId="13_ncr:1_{BAF9D972-EAEC-4A1B-B8F9-76E1BB2C8CDC}" xr6:coauthVersionLast="47" xr6:coauthVersionMax="47" xr10:uidLastSave="{00000000-0000-0000-0000-000000000000}"/>
  <bookViews>
    <workbookView xWindow="-120" yWindow="-120" windowWidth="19440" windowHeight="15000" tabRatio="906" firstSheet="1" activeTab="1" xr2:uid="{00000000-000D-0000-FFFF-FFFF00000000}"/>
  </bookViews>
  <sheets>
    <sheet name="Parrilla Nitrificación Parcial" sheetId="33" r:id="rId1"/>
    <sheet name="Planta MBBR" sheetId="19" r:id="rId2"/>
    <sheet name="Lecho de Secado" sheetId="35" r:id="rId3"/>
    <sheet name="Agua- T°C" sheetId="31" r:id="rId4"/>
    <sheet name="Nitrificación" sheetId="34" r:id="rId5"/>
    <sheet name="Tubería de Aireación" sheetId="36" r:id="rId6"/>
    <sheet name="Tuberías Varias" sheetId="37" r:id="rId7"/>
    <sheet name="Valvula Flotador" sheetId="29" r:id="rId8"/>
  </sheets>
  <externalReferences>
    <externalReference r:id="rId9"/>
  </externalReferences>
  <definedNames>
    <definedName name="_ftn1" localSheetId="1">'Planta MBBR'!$B$35</definedName>
    <definedName name="_ftnref1" localSheetId="1">'Planta MBBR'!$B$37</definedName>
    <definedName name="_Hlk31032396" localSheetId="1">'Planta MBBR'!$B$65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9" l="1"/>
  <c r="H58" i="19"/>
  <c r="E103" i="19"/>
  <c r="G14" i="35"/>
  <c r="E14" i="35"/>
  <c r="G15" i="35"/>
  <c r="G18" i="35" s="1"/>
  <c r="G19" i="35" s="1"/>
  <c r="E15" i="35"/>
  <c r="G20" i="37"/>
  <c r="E20" i="37"/>
  <c r="H63" i="19"/>
  <c r="H8" i="37"/>
  <c r="G19" i="37"/>
  <c r="G22" i="37" s="1"/>
  <c r="G24" i="37" s="1"/>
  <c r="G9" i="37"/>
  <c r="H3" i="37"/>
  <c r="H5" i="37"/>
  <c r="E9" i="37"/>
  <c r="E12" i="37" s="1"/>
  <c r="E14" i="37" s="1"/>
  <c r="E16" i="37" s="1"/>
  <c r="H10" i="37"/>
  <c r="H11" i="37"/>
  <c r="E19" i="37"/>
  <c r="H21" i="37"/>
  <c r="H14" i="35" l="1"/>
  <c r="E18" i="35"/>
  <c r="H15" i="35"/>
  <c r="H7" i="37"/>
  <c r="G13" i="37"/>
  <c r="H18" i="37"/>
  <c r="E23" i="37"/>
  <c r="G27" i="37"/>
  <c r="G26" i="37"/>
  <c r="G23" i="37"/>
  <c r="H20" i="37"/>
  <c r="G12" i="37"/>
  <c r="G14" i="37" s="1"/>
  <c r="G16" i="37" s="1"/>
  <c r="H9" i="37"/>
  <c r="H19" i="37"/>
  <c r="E13" i="37"/>
  <c r="E6" i="37" s="1"/>
  <c r="E22" i="37"/>
  <c r="D18" i="35" l="1"/>
  <c r="E19" i="35"/>
  <c r="H19" i="35" s="1"/>
  <c r="H23" i="37"/>
  <c r="G17" i="37"/>
  <c r="H12" i="37"/>
  <c r="E24" i="37"/>
  <c r="H22" i="37"/>
  <c r="H13" i="37"/>
  <c r="E27" i="37" l="1"/>
  <c r="H27" i="37" s="1"/>
  <c r="E26" i="37"/>
  <c r="H24" i="37"/>
  <c r="G6" i="37"/>
  <c r="G4" i="37" s="1"/>
  <c r="H14" i="37"/>
  <c r="H16" i="37" l="1"/>
  <c r="H6" i="37" s="1"/>
  <c r="E17" i="37"/>
  <c r="E4" i="37" s="1"/>
  <c r="H26" i="37"/>
  <c r="H4" i="37" l="1"/>
  <c r="H17" i="37"/>
  <c r="B30" i="35" l="1"/>
  <c r="G34" i="33"/>
  <c r="H48" i="36"/>
  <c r="H47" i="36"/>
  <c r="H46" i="36"/>
  <c r="H31" i="36"/>
  <c r="H29" i="36"/>
  <c r="H22" i="36"/>
  <c r="H21" i="36"/>
  <c r="H19" i="36"/>
  <c r="H10" i="36"/>
  <c r="H9" i="36"/>
  <c r="H7" i="36"/>
  <c r="G49" i="36"/>
  <c r="G30" i="36"/>
  <c r="G3" i="36"/>
  <c r="G32" i="36" l="1"/>
  <c r="G55" i="37"/>
  <c r="G53" i="37"/>
  <c r="G51" i="37"/>
  <c r="E51" i="37"/>
  <c r="H42" i="37"/>
  <c r="H39" i="37"/>
  <c r="G41" i="37"/>
  <c r="G40" i="37"/>
  <c r="G52" i="37" s="1"/>
  <c r="G39" i="33"/>
  <c r="G13" i="33"/>
  <c r="H36" i="35"/>
  <c r="H58" i="35"/>
  <c r="H56" i="35"/>
  <c r="H52" i="35"/>
  <c r="G57" i="35"/>
  <c r="G51" i="35"/>
  <c r="G53" i="35" s="1"/>
  <c r="G45" i="35"/>
  <c r="G37" i="35"/>
  <c r="G59" i="35" s="1"/>
  <c r="G32" i="35"/>
  <c r="H49" i="35"/>
  <c r="H46" i="35"/>
  <c r="H44" i="35"/>
  <c r="H42" i="35"/>
  <c r="H40" i="35"/>
  <c r="H27" i="35"/>
  <c r="H24" i="35"/>
  <c r="H23" i="35"/>
  <c r="H22" i="35"/>
  <c r="G105" i="19"/>
  <c r="G100" i="19"/>
  <c r="G78" i="19"/>
  <c r="G77" i="19"/>
  <c r="H96" i="19"/>
  <c r="H83" i="19"/>
  <c r="H81" i="19"/>
  <c r="H79" i="19"/>
  <c r="H76" i="19"/>
  <c r="H75" i="19"/>
  <c r="H71" i="19"/>
  <c r="H70" i="19"/>
  <c r="H65" i="19"/>
  <c r="H59" i="19"/>
  <c r="H57" i="19"/>
  <c r="H50" i="19"/>
  <c r="H49" i="19"/>
  <c r="H48" i="19"/>
  <c r="H47" i="19"/>
  <c r="H46" i="19"/>
  <c r="H45" i="19"/>
  <c r="H37" i="19"/>
  <c r="H35" i="19"/>
  <c r="H26" i="19"/>
  <c r="H25" i="19"/>
  <c r="H23" i="19"/>
  <c r="H22" i="19"/>
  <c r="H39" i="19"/>
  <c r="H19" i="19"/>
  <c r="H17" i="19"/>
  <c r="H15" i="19"/>
  <c r="H14" i="19"/>
  <c r="G103" i="19"/>
  <c r="G98" i="19"/>
  <c r="G87" i="19"/>
  <c r="G82" i="19"/>
  <c r="G72" i="19"/>
  <c r="G60" i="19"/>
  <c r="G16" i="35" s="1"/>
  <c r="G52" i="19"/>
  <c r="G53" i="19" s="1"/>
  <c r="G51" i="19"/>
  <c r="G44" i="19"/>
  <c r="G24" i="19"/>
  <c r="G27" i="19" s="1"/>
  <c r="G28" i="19" s="1"/>
  <c r="G29" i="19" s="1"/>
  <c r="G18" i="19"/>
  <c r="G34" i="19" s="1"/>
  <c r="G36" i="19" s="1"/>
  <c r="G16" i="19"/>
  <c r="G43" i="33"/>
  <c r="G36" i="33"/>
  <c r="G32" i="33"/>
  <c r="G33" i="33" s="1"/>
  <c r="H71" i="33"/>
  <c r="H68" i="33"/>
  <c r="H59" i="33"/>
  <c r="H58" i="33"/>
  <c r="H57" i="33"/>
  <c r="H56" i="33"/>
  <c r="G62" i="33"/>
  <c r="G61" i="33"/>
  <c r="G60" i="33"/>
  <c r="E52" i="19"/>
  <c r="E53" i="19" s="1"/>
  <c r="E51" i="19"/>
  <c r="G64" i="19" l="1"/>
  <c r="G60" i="35"/>
  <c r="G54" i="37"/>
  <c r="G56" i="37" s="1"/>
  <c r="H51" i="37"/>
  <c r="G37" i="33"/>
  <c r="G63" i="33"/>
  <c r="H53" i="19"/>
  <c r="G26" i="35"/>
  <c r="G28" i="35" s="1"/>
  <c r="G73" i="19"/>
  <c r="G44" i="37"/>
  <c r="G21" i="35"/>
  <c r="G25" i="35" s="1"/>
  <c r="G43" i="37"/>
  <c r="H51" i="19"/>
  <c r="G38" i="35"/>
  <c r="G41" i="35"/>
  <c r="G43" i="35" s="1"/>
  <c r="H30" i="35"/>
  <c r="H35" i="35"/>
  <c r="H52" i="19"/>
  <c r="G66" i="19"/>
  <c r="G38" i="19"/>
  <c r="G42" i="19" s="1"/>
  <c r="G33" i="19"/>
  <c r="G84" i="19"/>
  <c r="G30" i="19"/>
  <c r="E100" i="19"/>
  <c r="H100" i="19" s="1"/>
  <c r="G55" i="35" l="1"/>
  <c r="G29" i="35"/>
  <c r="G33" i="35" s="1"/>
  <c r="G54" i="19"/>
  <c r="G45" i="37"/>
  <c r="G50" i="37"/>
  <c r="G61" i="35"/>
  <c r="G47" i="35"/>
  <c r="H31" i="35"/>
  <c r="G40" i="19"/>
  <c r="G95" i="19"/>
  <c r="G31" i="19"/>
  <c r="G32" i="19"/>
  <c r="E30" i="36"/>
  <c r="H30" i="36" s="1"/>
  <c r="D52" i="19"/>
  <c r="E3" i="36"/>
  <c r="H3" i="36" s="1"/>
  <c r="G97" i="19" l="1"/>
  <c r="G99" i="19" s="1"/>
  <c r="G61" i="19"/>
  <c r="G47" i="37"/>
  <c r="G49" i="37"/>
  <c r="G48" i="37"/>
  <c r="G62" i="35"/>
  <c r="G48" i="35"/>
  <c r="H34" i="35"/>
  <c r="G41" i="19"/>
  <c r="G38" i="37" l="1"/>
  <c r="G63" i="35"/>
  <c r="G106" i="19"/>
  <c r="E53" i="37"/>
  <c r="H53" i="37" s="1"/>
  <c r="E55" i="37"/>
  <c r="H55" i="37" s="1"/>
  <c r="E40" i="37"/>
  <c r="E41" i="37"/>
  <c r="H41" i="37" s="1"/>
  <c r="E52" i="37" l="1"/>
  <c r="H52" i="37" s="1"/>
  <c r="H40" i="37"/>
  <c r="G37" i="37"/>
  <c r="E43" i="37"/>
  <c r="E44" i="37"/>
  <c r="H44" i="37" s="1"/>
  <c r="E54" i="37" l="1"/>
  <c r="H54" i="37" s="1"/>
  <c r="G80" i="19"/>
  <c r="E45" i="37"/>
  <c r="E48" i="37" s="1"/>
  <c r="H48" i="37" s="1"/>
  <c r="H43" i="37"/>
  <c r="E56" i="37" l="1"/>
  <c r="E49" i="37"/>
  <c r="H49" i="37" s="1"/>
  <c r="H45" i="37"/>
  <c r="E47" i="37"/>
  <c r="H47" i="37" s="1"/>
  <c r="E50" i="37"/>
  <c r="H50" i="37" s="1"/>
  <c r="H56" i="37"/>
  <c r="E61" i="33"/>
  <c r="H61" i="33" s="1"/>
  <c r="E60" i="33"/>
  <c r="H60" i="33" s="1"/>
  <c r="B54" i="36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E49" i="36"/>
  <c r="H49" i="36" s="1"/>
  <c r="B36" i="36"/>
  <c r="B37" i="36" s="1"/>
  <c r="B38" i="36" s="1"/>
  <c r="B39" i="36" s="1"/>
  <c r="B40" i="36" s="1"/>
  <c r="B41" i="36" s="1"/>
  <c r="B42" i="36" s="1"/>
  <c r="B43" i="36" s="1"/>
  <c r="E38" i="37" l="1"/>
  <c r="E82" i="19"/>
  <c r="H103" i="19"/>
  <c r="E13" i="33"/>
  <c r="E32" i="35"/>
  <c r="H32" i="35" s="1"/>
  <c r="E57" i="35"/>
  <c r="H57" i="35" s="1"/>
  <c r="E51" i="35"/>
  <c r="E45" i="35"/>
  <c r="H45" i="35" s="1"/>
  <c r="E37" i="35"/>
  <c r="B23" i="35"/>
  <c r="E53" i="35" l="1"/>
  <c r="H53" i="35" s="1"/>
  <c r="H51" i="35"/>
  <c r="H82" i="19"/>
  <c r="E37" i="37"/>
  <c r="H38" i="37"/>
  <c r="E59" i="35"/>
  <c r="H59" i="35" s="1"/>
  <c r="H37" i="35"/>
  <c r="D83" i="19"/>
  <c r="E38" i="35"/>
  <c r="H38" i="35" s="1"/>
  <c r="E41" i="35"/>
  <c r="E60" i="35" l="1"/>
  <c r="H60" i="35" s="1"/>
  <c r="H37" i="37"/>
  <c r="E80" i="19"/>
  <c r="H80" i="19" s="1"/>
  <c r="E43" i="35"/>
  <c r="H41" i="35"/>
  <c r="E43" i="33"/>
  <c r="E34" i="33"/>
  <c r="E39" i="33"/>
  <c r="H39" i="33" s="1"/>
  <c r="E47" i="35" l="1"/>
  <c r="H43" i="35"/>
  <c r="E105" i="19"/>
  <c r="H105" i="19" s="1"/>
  <c r="E48" i="35" l="1"/>
  <c r="H48" i="35" s="1"/>
  <c r="H47" i="35"/>
  <c r="E36" i="33"/>
  <c r="E98" i="19" l="1"/>
  <c r="H98" i="19" s="1"/>
  <c r="E87" i="19"/>
  <c r="H87" i="19" s="1"/>
  <c r="E60" i="19"/>
  <c r="H52" i="33"/>
  <c r="H51" i="33"/>
  <c r="H48" i="33"/>
  <c r="H45" i="33"/>
  <c r="H35" i="33"/>
  <c r="E32" i="33"/>
  <c r="H32" i="33" s="1"/>
  <c r="H31" i="33"/>
  <c r="H30" i="33"/>
  <c r="H29" i="33"/>
  <c r="H24" i="33"/>
  <c r="H21" i="33"/>
  <c r="G19" i="33"/>
  <c r="G38" i="33" s="1"/>
  <c r="G40" i="33" s="1"/>
  <c r="E19" i="33"/>
  <c r="E38" i="33" s="1"/>
  <c r="G18" i="33"/>
  <c r="E18" i="33"/>
  <c r="H17" i="33"/>
  <c r="H16" i="33"/>
  <c r="G15" i="33"/>
  <c r="G67" i="33" s="1"/>
  <c r="E15" i="33"/>
  <c r="E67" i="33" s="1"/>
  <c r="H14" i="33"/>
  <c r="H13" i="33"/>
  <c r="E64" i="19" l="1"/>
  <c r="E16" i="35"/>
  <c r="G41" i="33"/>
  <c r="G42" i="33" s="1"/>
  <c r="G53" i="33" s="1"/>
  <c r="G47" i="33"/>
  <c r="H67" i="33"/>
  <c r="E84" i="19"/>
  <c r="H60" i="19"/>
  <c r="E33" i="33"/>
  <c r="H19" i="33"/>
  <c r="H18" i="33"/>
  <c r="H43" i="33"/>
  <c r="E37" i="33"/>
  <c r="H15" i="33"/>
  <c r="E40" i="33"/>
  <c r="E47" i="33" s="1"/>
  <c r="H38" i="33"/>
  <c r="G20" i="33"/>
  <c r="H34" i="33"/>
  <c r="H36" i="33"/>
  <c r="E20" i="33"/>
  <c r="H16" i="35" l="1"/>
  <c r="H47" i="33"/>
  <c r="H84" i="19"/>
  <c r="E95" i="19"/>
  <c r="H95" i="19" s="1"/>
  <c r="H64" i="19"/>
  <c r="H33" i="33"/>
  <c r="H37" i="33"/>
  <c r="G22" i="33"/>
  <c r="G44" i="33" s="1"/>
  <c r="H20" i="33"/>
  <c r="E22" i="33"/>
  <c r="H40" i="33"/>
  <c r="E41" i="33"/>
  <c r="G46" i="33" l="1"/>
  <c r="G49" i="33" s="1"/>
  <c r="G50" i="33" s="1"/>
  <c r="G54" i="33" s="1"/>
  <c r="G27" i="33"/>
  <c r="E44" i="33"/>
  <c r="E23" i="33"/>
  <c r="H41" i="33"/>
  <c r="E42" i="33"/>
  <c r="G23" i="33"/>
  <c r="G45" i="36" s="1"/>
  <c r="H22" i="33"/>
  <c r="G50" i="36" l="1"/>
  <c r="G4" i="36"/>
  <c r="G67" i="19"/>
  <c r="G68" i="19" s="1"/>
  <c r="G64" i="33"/>
  <c r="E45" i="36"/>
  <c r="E4" i="36" s="1"/>
  <c r="E5" i="36" s="1"/>
  <c r="F66" i="33" s="1"/>
  <c r="H18" i="35" s="1"/>
  <c r="E53" i="33"/>
  <c r="H42" i="33"/>
  <c r="E25" i="33"/>
  <c r="G25" i="33"/>
  <c r="H23" i="33"/>
  <c r="E46" i="33"/>
  <c r="H44" i="33"/>
  <c r="E27" i="33"/>
  <c r="G62" i="19" l="1"/>
  <c r="G17" i="35"/>
  <c r="D66" i="33"/>
  <c r="E66" i="33"/>
  <c r="G66" i="33"/>
  <c r="H66" i="33" s="1"/>
  <c r="E91" i="19"/>
  <c r="H45" i="36"/>
  <c r="G73" i="33"/>
  <c r="G86" i="19"/>
  <c r="G88" i="19" s="1"/>
  <c r="G90" i="19"/>
  <c r="G5" i="36"/>
  <c r="H4" i="36"/>
  <c r="D53" i="36"/>
  <c r="E50" i="36"/>
  <c r="H50" i="36" s="1"/>
  <c r="H46" i="33"/>
  <c r="E49" i="33"/>
  <c r="H27" i="33"/>
  <c r="H25" i="33"/>
  <c r="G26" i="33"/>
  <c r="E26" i="33"/>
  <c r="H53" i="33"/>
  <c r="G91" i="19" l="1"/>
  <c r="G92" i="19" s="1"/>
  <c r="G94" i="19" s="1"/>
  <c r="G104" i="19" s="1"/>
  <c r="E53" i="36"/>
  <c r="G53" i="36"/>
  <c r="G20" i="36"/>
  <c r="H5" i="36"/>
  <c r="D54" i="36"/>
  <c r="E54" i="36" s="1"/>
  <c r="E20" i="36"/>
  <c r="D35" i="36"/>
  <c r="G35" i="36" s="1"/>
  <c r="H26" i="33"/>
  <c r="E50" i="33"/>
  <c r="H49" i="33"/>
  <c r="H91" i="19" l="1"/>
  <c r="H20" i="36"/>
  <c r="G23" i="36"/>
  <c r="G24" i="36"/>
  <c r="G8" i="36"/>
  <c r="H53" i="36"/>
  <c r="D55" i="36"/>
  <c r="G55" i="36" s="1"/>
  <c r="G54" i="36"/>
  <c r="H54" i="36" s="1"/>
  <c r="D36" i="36"/>
  <c r="E23" i="36"/>
  <c r="E25" i="36" s="1"/>
  <c r="E27" i="36" s="1"/>
  <c r="E8" i="36"/>
  <c r="E24" i="36"/>
  <c r="H50" i="33"/>
  <c r="E54" i="33"/>
  <c r="E67" i="19" s="1"/>
  <c r="H67" i="19" s="1"/>
  <c r="H8" i="36" l="1"/>
  <c r="G11" i="36"/>
  <c r="G12" i="36"/>
  <c r="H24" i="36"/>
  <c r="G25" i="36"/>
  <c r="H23" i="36"/>
  <c r="D56" i="36"/>
  <c r="G56" i="36" s="1"/>
  <c r="E55" i="36"/>
  <c r="H55" i="36" s="1"/>
  <c r="D37" i="36"/>
  <c r="G36" i="36"/>
  <c r="E64" i="33"/>
  <c r="H64" i="33" s="1"/>
  <c r="E18" i="36"/>
  <c r="E11" i="36"/>
  <c r="E13" i="36" s="1"/>
  <c r="E12" i="36"/>
  <c r="H54" i="33"/>
  <c r="E56" i="36" l="1"/>
  <c r="H56" i="36" s="1"/>
  <c r="D57" i="36"/>
  <c r="G57" i="36" s="1"/>
  <c r="D38" i="36"/>
  <c r="G37" i="36"/>
  <c r="G27" i="36"/>
  <c r="H25" i="36"/>
  <c r="H12" i="36"/>
  <c r="G13" i="36"/>
  <c r="H11" i="36"/>
  <c r="E17" i="36"/>
  <c r="E16" i="36"/>
  <c r="E15" i="36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E9" i="31"/>
  <c r="E8" i="31"/>
  <c r="B8" i="31"/>
  <c r="B9" i="31" s="1"/>
  <c r="B10" i="31" s="1"/>
  <c r="B11" i="31" s="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E7" i="31"/>
  <c r="B7" i="31"/>
  <c r="E6" i="31"/>
  <c r="D58" i="36" l="1"/>
  <c r="G58" i="36" s="1"/>
  <c r="E57" i="36"/>
  <c r="H57" i="36" s="1"/>
  <c r="G15" i="36"/>
  <c r="H13" i="36"/>
  <c r="G17" i="36"/>
  <c r="H17" i="36" s="1"/>
  <c r="G16" i="36"/>
  <c r="H16" i="36" s="1"/>
  <c r="H27" i="36"/>
  <c r="G18" i="36"/>
  <c r="H18" i="36" s="1"/>
  <c r="D39" i="36"/>
  <c r="G38" i="36"/>
  <c r="E58" i="36"/>
  <c r="H58" i="36" s="1"/>
  <c r="D59" i="36"/>
  <c r="G59" i="36" s="1"/>
  <c r="E6" i="36"/>
  <c r="G39" i="36" l="1"/>
  <c r="D40" i="36"/>
  <c r="H15" i="36"/>
  <c r="G6" i="36"/>
  <c r="H6" i="36" s="1"/>
  <c r="E59" i="36"/>
  <c r="H59" i="36" s="1"/>
  <c r="D60" i="36"/>
  <c r="G60" i="36" s="1"/>
  <c r="F15" i="29"/>
  <c r="F16" i="29" s="1"/>
  <c r="D15" i="29"/>
  <c r="D16" i="29" s="1"/>
  <c r="B15" i="29"/>
  <c r="B16" i="29" s="1"/>
  <c r="F13" i="29"/>
  <c r="F11" i="29"/>
  <c r="D13" i="29"/>
  <c r="D11" i="29"/>
  <c r="B13" i="29"/>
  <c r="B11" i="29"/>
  <c r="E44" i="19"/>
  <c r="H44" i="19" s="1"/>
  <c r="G40" i="36" l="1"/>
  <c r="D41" i="36"/>
  <c r="D61" i="36"/>
  <c r="G61" i="36" s="1"/>
  <c r="E60" i="36"/>
  <c r="H60" i="36" s="1"/>
  <c r="F17" i="29"/>
  <c r="F18" i="29" s="1"/>
  <c r="F19" i="29" s="1"/>
  <c r="D17" i="29"/>
  <c r="D18" i="29" s="1"/>
  <c r="D19" i="29" s="1"/>
  <c r="B17" i="29"/>
  <c r="B18" i="29" s="1"/>
  <c r="B19" i="29" s="1"/>
  <c r="G41" i="36" l="1"/>
  <c r="D42" i="36"/>
  <c r="D62" i="36"/>
  <c r="G62" i="36" s="1"/>
  <c r="E61" i="36"/>
  <c r="H61" i="36" s="1"/>
  <c r="E20" i="29"/>
  <c r="E78" i="19" s="1"/>
  <c r="G42" i="36" l="1"/>
  <c r="D43" i="36"/>
  <c r="G43" i="36" s="1"/>
  <c r="D80" i="19"/>
  <c r="H78" i="19"/>
  <c r="E62" i="36"/>
  <c r="H62" i="36" s="1"/>
  <c r="D63" i="36"/>
  <c r="G63" i="36" s="1"/>
  <c r="E66" i="19"/>
  <c r="E68" i="19" l="1"/>
  <c r="H66" i="19"/>
  <c r="E63" i="36"/>
  <c r="H63" i="36" s="1"/>
  <c r="D64" i="36"/>
  <c r="G64" i="36" s="1"/>
  <c r="E73" i="33"/>
  <c r="H73" i="33" s="1"/>
  <c r="E17" i="35" l="1"/>
  <c r="H17" i="35" s="1"/>
  <c r="D16" i="35"/>
  <c r="D17" i="35" s="1"/>
  <c r="H68" i="19"/>
  <c r="E62" i="19"/>
  <c r="D65" i="36"/>
  <c r="G65" i="36" s="1"/>
  <c r="E64" i="36"/>
  <c r="H64" i="36" s="1"/>
  <c r="E90" i="19"/>
  <c r="H90" i="19" s="1"/>
  <c r="E92" i="19"/>
  <c r="E94" i="19" s="1"/>
  <c r="D63" i="19" l="1"/>
  <c r="H62" i="19"/>
  <c r="H94" i="19"/>
  <c r="H92" i="19"/>
  <c r="D66" i="36"/>
  <c r="G66" i="36" s="1"/>
  <c r="E65" i="36"/>
  <c r="H65" i="36" s="1"/>
  <c r="E18" i="19"/>
  <c r="H18" i="19" s="1"/>
  <c r="E16" i="19"/>
  <c r="E21" i="35" l="1"/>
  <c r="H16" i="19"/>
  <c r="E66" i="36"/>
  <c r="H66" i="36" s="1"/>
  <c r="D67" i="36"/>
  <c r="G67" i="36" s="1"/>
  <c r="E34" i="19"/>
  <c r="H34" i="19" s="1"/>
  <c r="H50" i="35" l="1"/>
  <c r="H21" i="35"/>
  <c r="E26" i="35"/>
  <c r="E36" i="19"/>
  <c r="E67" i="36"/>
  <c r="H67" i="36" s="1"/>
  <c r="D68" i="36"/>
  <c r="G68" i="36" s="1"/>
  <c r="E28" i="35" l="1"/>
  <c r="H28" i="35" s="1"/>
  <c r="H26" i="35"/>
  <c r="E38" i="19"/>
  <c r="E42" i="19" s="1"/>
  <c r="H36" i="19"/>
  <c r="D69" i="36"/>
  <c r="G69" i="36" s="1"/>
  <c r="E68" i="36"/>
  <c r="H68" i="36" s="1"/>
  <c r="E72" i="19"/>
  <c r="E73" i="19" l="1"/>
  <c r="H73" i="19" s="1"/>
  <c r="H72" i="19"/>
  <c r="H38" i="19"/>
  <c r="D70" i="36"/>
  <c r="E69" i="36"/>
  <c r="H69" i="36" s="1"/>
  <c r="E24" i="19"/>
  <c r="E70" i="36" l="1"/>
  <c r="G70" i="36"/>
  <c r="E27" i="19"/>
  <c r="H24" i="19"/>
  <c r="H40" i="19"/>
  <c r="D40" i="19"/>
  <c r="E44" i="36"/>
  <c r="E33" i="19"/>
  <c r="H33" i="19" s="1"/>
  <c r="H70" i="36" l="1"/>
  <c r="G44" i="36"/>
  <c r="H44" i="36" s="1"/>
  <c r="E41" i="19"/>
  <c r="H42" i="19"/>
  <c r="E28" i="19"/>
  <c r="H27" i="19"/>
  <c r="D33" i="19"/>
  <c r="E25" i="35"/>
  <c r="H25" i="35" s="1"/>
  <c r="E20" i="19" l="1"/>
  <c r="G20" i="19"/>
  <c r="H41" i="19"/>
  <c r="E29" i="19"/>
  <c r="H29" i="19" s="1"/>
  <c r="H28" i="19"/>
  <c r="E55" i="35"/>
  <c r="E29" i="35"/>
  <c r="E61" i="35" l="1"/>
  <c r="H55" i="35"/>
  <c r="E33" i="35"/>
  <c r="H29" i="35"/>
  <c r="H20" i="19"/>
  <c r="E86" i="19"/>
  <c r="H86" i="19" s="1"/>
  <c r="E62" i="35" l="1"/>
  <c r="H61" i="35"/>
  <c r="D37" i="35"/>
  <c r="H33" i="35"/>
  <c r="E30" i="19"/>
  <c r="H30" i="19" s="1"/>
  <c r="E63" i="35" l="1"/>
  <c r="H63" i="35" s="1"/>
  <c r="H62" i="35"/>
  <c r="E31" i="19"/>
  <c r="E32" i="19"/>
  <c r="D32" i="19" l="1"/>
  <c r="H32" i="19"/>
  <c r="D31" i="19"/>
  <c r="H31" i="19"/>
  <c r="D90" i="19"/>
  <c r="E88" i="19"/>
  <c r="H88" i="19" s="1"/>
  <c r="D87" i="19"/>
  <c r="E77" i="19" l="1"/>
  <c r="H77" i="19" s="1"/>
  <c r="E32" i="36" l="1"/>
  <c r="E62" i="33"/>
  <c r="E63" i="33" l="1"/>
  <c r="H62" i="33"/>
  <c r="E42" i="36"/>
  <c r="H42" i="36" s="1"/>
  <c r="H32" i="36"/>
  <c r="E36" i="36"/>
  <c r="H36" i="36" s="1"/>
  <c r="E38" i="36"/>
  <c r="H38" i="36" s="1"/>
  <c r="E43" i="36"/>
  <c r="H43" i="36" s="1"/>
  <c r="E37" i="36"/>
  <c r="H37" i="36" s="1"/>
  <c r="E40" i="36"/>
  <c r="H40" i="36" s="1"/>
  <c r="E35" i="36"/>
  <c r="E39" i="36"/>
  <c r="H39" i="36" s="1"/>
  <c r="E41" i="36"/>
  <c r="H41" i="36" s="1"/>
  <c r="E54" i="19" l="1"/>
  <c r="H63" i="33"/>
  <c r="E28" i="36"/>
  <c r="E2" i="36" s="1"/>
  <c r="H54" i="19" l="1"/>
  <c r="E97" i="19"/>
  <c r="E61" i="19"/>
  <c r="H61" i="19" s="1"/>
  <c r="E69" i="33"/>
  <c r="E99" i="19" l="1"/>
  <c r="H97" i="19"/>
  <c r="E70" i="33"/>
  <c r="E72" i="33" s="1"/>
  <c r="G70" i="33"/>
  <c r="H99" i="19" l="1"/>
  <c r="E104" i="19"/>
  <c r="E106" i="19"/>
  <c r="G72" i="33"/>
  <c r="G102" i="19" s="1"/>
  <c r="H70" i="33"/>
  <c r="E102" i="19"/>
  <c r="D102" i="19" s="1"/>
  <c r="E74" i="33"/>
  <c r="E75" i="33" s="1"/>
  <c r="H104" i="19" l="1"/>
  <c r="D104" i="19"/>
  <c r="D106" i="19"/>
  <c r="H106" i="19"/>
  <c r="H102" i="19"/>
  <c r="G74" i="33" l="1"/>
  <c r="H72" i="33"/>
  <c r="G75" i="33" l="1"/>
  <c r="H74" i="33"/>
  <c r="H75" i="33" l="1"/>
  <c r="G28" i="36"/>
  <c r="H28" i="36" s="1"/>
  <c r="H35" i="36"/>
  <c r="G2" i="36" l="1"/>
  <c r="H2" i="36" l="1"/>
  <c r="G69" i="33"/>
  <c r="H69" i="33" l="1"/>
</calcChain>
</file>

<file path=xl/sharedStrings.xml><?xml version="1.0" encoding="utf-8"?>
<sst xmlns="http://schemas.openxmlformats.org/spreadsheetml/2006/main" count="934" uniqueCount="506">
  <si>
    <t>Lps</t>
  </si>
  <si>
    <t>V</t>
  </si>
  <si>
    <t>m3</t>
  </si>
  <si>
    <t>m2</t>
  </si>
  <si>
    <t>m</t>
  </si>
  <si>
    <t>mg/L</t>
  </si>
  <si>
    <t>Temperatura</t>
  </si>
  <si>
    <t>horas</t>
  </si>
  <si>
    <t>pg</t>
  </si>
  <si>
    <t>m/s</t>
  </si>
  <si>
    <t>oC</t>
  </si>
  <si>
    <t>Altitud</t>
  </si>
  <si>
    <t>msnm</t>
  </si>
  <si>
    <t>Cst</t>
  </si>
  <si>
    <t>Presion a Nivel del Mar</t>
  </si>
  <si>
    <t>P</t>
  </si>
  <si>
    <t>kPa</t>
  </si>
  <si>
    <t>Factor de Presión</t>
  </si>
  <si>
    <t>Presión en el Sitio</t>
  </si>
  <si>
    <t>Presión de Vapor a T oC</t>
  </si>
  <si>
    <t>Pw</t>
  </si>
  <si>
    <t>Kw</t>
  </si>
  <si>
    <t>días</t>
  </si>
  <si>
    <t>No de Módulos</t>
  </si>
  <si>
    <t>u</t>
  </si>
  <si>
    <t>m3/h</t>
  </si>
  <si>
    <t>min</t>
  </si>
  <si>
    <t xml:space="preserve">Eficiencia Remoción de Nitrogeno Amoniacal </t>
  </si>
  <si>
    <t xml:space="preserve">m </t>
  </si>
  <si>
    <t>mm</t>
  </si>
  <si>
    <t>mm2</t>
  </si>
  <si>
    <t>Caudal</t>
  </si>
  <si>
    <t>Q</t>
  </si>
  <si>
    <t>cm</t>
  </si>
  <si>
    <t>Kg O2/h</t>
  </si>
  <si>
    <t>Diferencia de Altura</t>
  </si>
  <si>
    <t>Total Cabeza</t>
  </si>
  <si>
    <t>Eficiencia de Bombeo</t>
  </si>
  <si>
    <t>m2/m3</t>
  </si>
  <si>
    <t>Caudal de Diseño</t>
  </si>
  <si>
    <t>Concentración de Nitrogeno Amoniacal Afluente</t>
  </si>
  <si>
    <t>Edad de Lodos</t>
  </si>
  <si>
    <t>psi</t>
  </si>
  <si>
    <t>GPM</t>
  </si>
  <si>
    <t>Largo</t>
  </si>
  <si>
    <t>Cd</t>
  </si>
  <si>
    <t>Cl</t>
  </si>
  <si>
    <t>N</t>
  </si>
  <si>
    <t>Area en Planta</t>
  </si>
  <si>
    <t>mca</t>
  </si>
  <si>
    <t>un</t>
  </si>
  <si>
    <t>Cabeza de Velocidad en Orificios</t>
  </si>
  <si>
    <t>Lts</t>
  </si>
  <si>
    <t>Cabeza de Velocidad</t>
  </si>
  <si>
    <t>Perdidas de Cabeza en Tubería</t>
  </si>
  <si>
    <t>Perdidas Totales</t>
  </si>
  <si>
    <t>m/h</t>
  </si>
  <si>
    <t>Indicadores de Control</t>
  </si>
  <si>
    <t>Velocidad  en Chorros</t>
  </si>
  <si>
    <t>hv</t>
  </si>
  <si>
    <t>No de Chorros</t>
  </si>
  <si>
    <t>Diámetro de Orificio</t>
  </si>
  <si>
    <t>Area de Flujo por Perforación</t>
  </si>
  <si>
    <t>Coeficiente de Descarga</t>
  </si>
  <si>
    <t>Caudal por Parrilla</t>
  </si>
  <si>
    <t>T°C</t>
  </si>
  <si>
    <t>Factor de Corrección de Transferencia de O2 para Aguas Residuales</t>
  </si>
  <si>
    <t xml:space="preserve"> α</t>
  </si>
  <si>
    <t>β</t>
  </si>
  <si>
    <t xml:space="preserve">Cabeza de Velocidad </t>
  </si>
  <si>
    <t>Accesorios</t>
  </si>
  <si>
    <t>Velocidad de Sedimentación</t>
  </si>
  <si>
    <t>td</t>
  </si>
  <si>
    <t>mg O2/L</t>
  </si>
  <si>
    <t>Concentración DBO Afluente</t>
  </si>
  <si>
    <t>to</t>
  </si>
  <si>
    <t>Caudal a Tratar</t>
  </si>
  <si>
    <t>Variables Principales de Entrada</t>
  </si>
  <si>
    <t>Espesor del Lecho</t>
  </si>
  <si>
    <t>Area de Biopelícula por m3</t>
  </si>
  <si>
    <t xml:space="preserve">Ancho  </t>
  </si>
  <si>
    <t>1/8"</t>
  </si>
  <si>
    <t xml:space="preserve">Area en Planta </t>
  </si>
  <si>
    <t>Volúmen de Almacenamiento Regulador</t>
  </si>
  <si>
    <t>Volumen Zona de Digestión Anaeróbica</t>
  </si>
  <si>
    <t>Altura Media para Almacenamiento Regulador</t>
  </si>
  <si>
    <t>Chorros por Ramal</t>
  </si>
  <si>
    <t>No de Ramales</t>
  </si>
  <si>
    <t>Carga Orgánica Efluente</t>
  </si>
  <si>
    <t>Kg DBO5/día</t>
  </si>
  <si>
    <t>Concentración de Saturación de O2  para 20 °C a nivel del mar</t>
  </si>
  <si>
    <t>Potencia Hidráulica por Chorro</t>
  </si>
  <si>
    <t>Ph</t>
  </si>
  <si>
    <t>Longitud del Chorro</t>
  </si>
  <si>
    <t>Eficiencia Energética del Chorro en Condiciones Estándar</t>
  </si>
  <si>
    <t>SOTE</t>
  </si>
  <si>
    <t xml:space="preserve">Factor de Correcciòn por Salinidad y Tensión Superficial </t>
  </si>
  <si>
    <t xml:space="preserve">Factor Tranferencia de O2 en Condiciones Reales </t>
  </si>
  <si>
    <t>AOTR</t>
  </si>
  <si>
    <t>KgO2/hora</t>
  </si>
  <si>
    <t xml:space="preserve">Condiciones de la Parrilla </t>
  </si>
  <si>
    <t>No de Parrillas de Aireación Especificado</t>
  </si>
  <si>
    <t>Diámetro de Valvula e Flotador</t>
  </si>
  <si>
    <t>Caudal por Chorro</t>
  </si>
  <si>
    <t>Diametro de Tubería de Entrada</t>
  </si>
  <si>
    <t>Velocidad en Tubería de Entrada</t>
  </si>
  <si>
    <t>Potencia Hidráulica por Parrilla</t>
  </si>
  <si>
    <t>Transferencia de Oxígeno por Parrilla</t>
  </si>
  <si>
    <t xml:space="preserve">Concentración de OD a la salida </t>
  </si>
  <si>
    <t>Clasificación de la Información</t>
  </si>
  <si>
    <t>Tasa de Consumo de Oxígeno por Kg de Carga Nitrogenada para Nitritos</t>
  </si>
  <si>
    <t>Tasa de Consumo de Carbono por Kg de Nitritos Desnitrificados</t>
  </si>
  <si>
    <t>Kg DBO5/d</t>
  </si>
  <si>
    <t>Carga de DBO5 Afluente</t>
  </si>
  <si>
    <t>kg DBO5/día</t>
  </si>
  <si>
    <t>Carga de NH4 Afluente</t>
  </si>
  <si>
    <t>Diámetro del Lodo</t>
  </si>
  <si>
    <t>gr O2</t>
  </si>
  <si>
    <t>kg NH4/día</t>
  </si>
  <si>
    <t>gr NH4</t>
  </si>
  <si>
    <t>Velocidad Ascencional Media &lt; 0.6 m/h</t>
  </si>
  <si>
    <t>KgDBO/m3-d</t>
  </si>
  <si>
    <t>n</t>
  </si>
  <si>
    <t>SOTRc</t>
  </si>
  <si>
    <t>Tiempo para Realización de Procesos</t>
  </si>
  <si>
    <t xml:space="preserve">Tiempo de Reposo Sobrante                                          </t>
  </si>
  <si>
    <t>Consumo de O2  por Ciclo</t>
  </si>
  <si>
    <r>
      <t>gr 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/gr NH</t>
    </r>
    <r>
      <rPr>
        <vertAlign val="subscript"/>
        <sz val="11"/>
        <color theme="1"/>
        <rFont val="Arial"/>
        <family val="2"/>
      </rPr>
      <t xml:space="preserve">4 </t>
    </r>
  </si>
  <si>
    <t>gr O2/min</t>
  </si>
  <si>
    <t>Periodo de Detención Hidráulica HRT  &gt; 5 h</t>
  </si>
  <si>
    <t>Tasa de Remoción de Nitrógeno Requerida</t>
  </si>
  <si>
    <t>gr NH4/min</t>
  </si>
  <si>
    <t>gr NH4/m2xdía</t>
  </si>
  <si>
    <t>Carga de Nitrógeno Amoniacal Removida</t>
  </si>
  <si>
    <t>Hc</t>
  </si>
  <si>
    <t xml:space="preserve">Penetración de las Burbujas Calculada </t>
  </si>
  <si>
    <t>Parámetros de Diseño Asumidos</t>
  </si>
  <si>
    <t>Parámetros y Datos de Diseño Calculados</t>
  </si>
  <si>
    <t>Fuente</t>
  </si>
  <si>
    <t>Calculo Alterno</t>
  </si>
  <si>
    <t>Diferencia</t>
  </si>
  <si>
    <t>Salinidad del Agua</t>
  </si>
  <si>
    <t>gr/L</t>
  </si>
  <si>
    <r>
      <t>KgO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/kW-h</t>
    </r>
  </si>
  <si>
    <t>Factor de Mayoración por Efecto de Bioportadores</t>
  </si>
  <si>
    <t>FMB</t>
  </si>
  <si>
    <t>Eficiencia Energética del Chorro en Condiciones Estándar  en Tanque con Bioportadores</t>
  </si>
  <si>
    <t xml:space="preserve">Transferencia de O2  en Condiciones Estandar por Chorro en Tanque con Bioportadores </t>
  </si>
  <si>
    <t xml:space="preserve">Largo </t>
  </si>
  <si>
    <t>Hb</t>
  </si>
  <si>
    <t>10 a 120</t>
  </si>
  <si>
    <t xml:space="preserve">Tiempo de Anoxia Requerido para Control de NOB                                        </t>
  </si>
  <si>
    <t>Densidad Relativa del Lodo de Biopelículas</t>
  </si>
  <si>
    <t>SARR</t>
  </si>
  <si>
    <t>Jules B. van Lier  Ref. E-10</t>
  </si>
  <si>
    <t>Jules B. van Lier et al Ref. E-10</t>
  </si>
  <si>
    <t>Tiempo de Aireación por Ciclo Requerido</t>
  </si>
  <si>
    <t>Tiempo de Salida del Efluente con Filtración</t>
  </si>
  <si>
    <t>Tasa de Recirculación</t>
  </si>
  <si>
    <t>Tiempo Disponible para el Ciclo</t>
  </si>
  <si>
    <t xml:space="preserve">Tiempo de Anoxia Dispuesto                                        </t>
  </si>
  <si>
    <r>
      <rPr>
        <sz val="11"/>
        <rFont val="GreekC"/>
      </rPr>
      <t>D</t>
    </r>
    <r>
      <rPr>
        <sz val="11"/>
        <rFont val="Arial"/>
        <family val="2"/>
      </rPr>
      <t>H</t>
    </r>
  </si>
  <si>
    <t>Variación en Profundidad en RSB</t>
  </si>
  <si>
    <t>Fuente: Helbert &amp;Cia</t>
  </si>
  <si>
    <t>Area seccional</t>
  </si>
  <si>
    <t>Velocidad</t>
  </si>
  <si>
    <t xml:space="preserve">Caída de Presión </t>
  </si>
  <si>
    <t>Diámetro de Válvula</t>
  </si>
  <si>
    <t>Diámetro del Orificio</t>
  </si>
  <si>
    <t>Diámetro de Valvula de Flotador (pg)</t>
  </si>
  <si>
    <t>http://www.helbertycia.com/detalle_Producto.asp?IdProducto=18</t>
  </si>
  <si>
    <t>Coeficiente de Pérdidas en la Valvula de Flotador</t>
  </si>
  <si>
    <t>Coeficiente de Perdidas en Válvula de Flotador</t>
  </si>
  <si>
    <t>Diámetro del Orificio de Valvula e Flotador</t>
  </si>
  <si>
    <t>Cálculos del Coeficiente de Pérdidas Km en la Valvula de Flotador</t>
  </si>
  <si>
    <t>Coeficiente Km</t>
  </si>
  <si>
    <t>Promedio del Coeficiente de Perdidas Km:</t>
  </si>
  <si>
    <t>Km</t>
  </si>
  <si>
    <t>Valores de 1,1.5,2 ó 3</t>
  </si>
  <si>
    <t>Control en Válvula de Salida</t>
  </si>
  <si>
    <t>Pt</t>
  </si>
  <si>
    <t xml:space="preserve">Concentración de Saturación de O2  para Temperatura </t>
  </si>
  <si>
    <r>
      <t>Cs</t>
    </r>
    <r>
      <rPr>
        <vertAlign val="subscript"/>
        <sz val="11"/>
        <rFont val="Arial"/>
        <family val="2"/>
      </rPr>
      <t xml:space="preserve">T </t>
    </r>
  </si>
  <si>
    <t>Concentración de Saturación de O2  para Temperatura  y Altitud</t>
  </si>
  <si>
    <r>
      <t>Cs</t>
    </r>
    <r>
      <rPr>
        <vertAlign val="subscript"/>
        <sz val="11"/>
        <rFont val="Arial"/>
        <family val="2"/>
      </rPr>
      <t xml:space="preserve">TA </t>
    </r>
  </si>
  <si>
    <t>Profundidad de la Aireación</t>
  </si>
  <si>
    <t>Concentración de Saturación de O2 en el Terreno</t>
  </si>
  <si>
    <t>Cs20</t>
  </si>
  <si>
    <t>Tasa de Transferencia de Oxígeno por Parrilla</t>
  </si>
  <si>
    <t xml:space="preserve">Parámetros  tomados de la Literatura Científica o Técnica </t>
  </si>
  <si>
    <t>Resultados Finales e Indicadores de Desempeño</t>
  </si>
  <si>
    <t>Otros Cálculos</t>
  </si>
  <si>
    <t>Temperatura T</t>
  </si>
  <si>
    <r>
      <t xml:space="preserve">Densidad </t>
    </r>
    <r>
      <rPr>
        <b/>
        <sz val="11"/>
        <color rgb="FF000000"/>
        <rFont val="GreekC"/>
      </rPr>
      <t>r</t>
    </r>
  </si>
  <si>
    <r>
      <t xml:space="preserve">Viscosidad Dinámica </t>
    </r>
    <r>
      <rPr>
        <b/>
        <sz val="11"/>
        <color rgb="FF000000"/>
        <rFont val="GreekC"/>
      </rPr>
      <t>m</t>
    </r>
  </si>
  <si>
    <r>
      <t xml:space="preserve">Viscosidad Cinemática </t>
    </r>
    <r>
      <rPr>
        <b/>
        <sz val="11"/>
        <color rgb="FF000000"/>
        <rFont val="GreekC"/>
      </rPr>
      <t>J</t>
    </r>
  </si>
  <si>
    <t>Presión de Vapor Hv</t>
  </si>
  <si>
    <t>Concentración de Saturación de O2  para T y salinidad a nivel del mar  C(s,T)</t>
  </si>
  <si>
    <t>°C</t>
  </si>
  <si>
    <t>kg/m3</t>
  </si>
  <si>
    <r>
      <t>m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/sg</t>
    </r>
  </si>
  <si>
    <t>Salinidad en partes por mil (gr/L)</t>
  </si>
  <si>
    <t xml:space="preserve">Therm Exel. "Physical characteristics of water (at the atmospheric pressure)". 2.003.   </t>
  </si>
  <si>
    <t>Metcalf &amp; Eddy. “Wastewater Engineering. Treatment and Reuse”. Mc Graw Hill.            4ª Edición, 2.003.</t>
  </si>
  <si>
    <t>https://www.thermexcel.com/english/tables/eau_atm.htm</t>
  </si>
  <si>
    <t>Pérdidas:</t>
  </si>
  <si>
    <t xml:space="preserve">Material </t>
  </si>
  <si>
    <t>PVC</t>
  </si>
  <si>
    <r>
      <t>Coeficiente C</t>
    </r>
    <r>
      <rPr>
        <vertAlign val="subscript"/>
        <sz val="11"/>
        <color rgb="FF000000"/>
        <rFont val="Arial"/>
        <family val="2"/>
      </rPr>
      <t>HW</t>
    </r>
    <r>
      <rPr>
        <sz val="11"/>
        <color rgb="FF000000"/>
        <rFont val="Arial"/>
        <family val="2"/>
        <charset val="1"/>
      </rPr>
      <t>:</t>
    </r>
  </si>
  <si>
    <t xml:space="preserve">Caudal </t>
  </si>
  <si>
    <t xml:space="preserve">Longitud  </t>
  </si>
  <si>
    <t>Diametro</t>
  </si>
  <si>
    <t xml:space="preserve">Velocidad Media </t>
  </si>
  <si>
    <t>Cantidad</t>
  </si>
  <si>
    <t>Pérdidas (m)</t>
  </si>
  <si>
    <t>PEAD</t>
  </si>
  <si>
    <t>Tee con salida lateral</t>
  </si>
  <si>
    <t>Codo  de radio corto</t>
  </si>
  <si>
    <t>ta</t>
  </si>
  <si>
    <t>Profundidad Máxima del Agua</t>
  </si>
  <si>
    <r>
      <t>gr NH</t>
    </r>
    <r>
      <rPr>
        <vertAlign val="subscript"/>
        <sz val="11"/>
        <color rgb="FF000000"/>
        <rFont val="Arial"/>
        <family val="2"/>
      </rPr>
      <t>4</t>
    </r>
    <r>
      <rPr>
        <sz val="11"/>
        <color rgb="FF000000"/>
        <rFont val="Arial"/>
        <family val="2"/>
        <charset val="1"/>
      </rPr>
      <t>/m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  <charset val="1"/>
      </rPr>
      <t>*día</t>
    </r>
  </si>
  <si>
    <t>Variable de Ajuste</t>
  </si>
  <si>
    <t xml:space="preserve">Altura de la Capa de Bioportadores                                                     </t>
  </si>
  <si>
    <t>Ha</t>
  </si>
  <si>
    <t>Tabla C-1. Valores Máximos de la Tasa de Remoción de Nitrógeno y de Carga Orgánica Superficial en Función del Oxígeno Disuelto</t>
  </si>
  <si>
    <t>Concentración de Oxígeno Disuelto</t>
  </si>
  <si>
    <t>SARR máximo</t>
  </si>
  <si>
    <t>SALR orgánica máxima</t>
  </si>
  <si>
    <r>
      <t>grNH</t>
    </r>
    <r>
      <rPr>
        <vertAlign val="subscript"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>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-día</t>
    </r>
  </si>
  <si>
    <r>
      <t>grDBO</t>
    </r>
    <r>
      <rPr>
        <vertAlign val="subscript"/>
        <sz val="11"/>
        <color theme="1"/>
        <rFont val="Arial"/>
        <family val="2"/>
      </rPr>
      <t>5</t>
    </r>
    <r>
      <rPr>
        <sz val="11"/>
        <color theme="1"/>
        <rFont val="Arial"/>
        <family val="2"/>
      </rPr>
      <t>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-día</t>
    </r>
  </si>
  <si>
    <t>No aplica</t>
  </si>
  <si>
    <t>Tasa de Suministro de Oxígeno de Chorros por Parrillas</t>
  </si>
  <si>
    <t>Almacenamiento Regulador como % del Volumen Diario</t>
  </si>
  <si>
    <t>Espaciamiento entre Líneas</t>
  </si>
  <si>
    <t>No de  Parrillas por Línea</t>
  </si>
  <si>
    <t>Tiempo Total del Ciclo Asumido</t>
  </si>
  <si>
    <t>Volumen a Procesar por Ciclo</t>
  </si>
  <si>
    <t>CICLO DE OPERACIÓN</t>
  </si>
  <si>
    <t>1- Aireación y Llenado</t>
  </si>
  <si>
    <t>Operación del Ciclo</t>
  </si>
  <si>
    <t>2- Reposo con Decantación  de Lodos y Formación del Fitro Flotante</t>
  </si>
  <si>
    <t>3-Salida del Efluente a Través del Fitro Flotante, y de los Lodos</t>
  </si>
  <si>
    <t>tp</t>
  </si>
  <si>
    <t>No de Valvulas de Flotador</t>
  </si>
  <si>
    <t>Volumen de Agua de Aireación por Ciclo</t>
  </si>
  <si>
    <t xml:space="preserve">Caudal de Aireación por Parrillas </t>
  </si>
  <si>
    <t>Profundidad del Tanque</t>
  </si>
  <si>
    <t xml:space="preserve">Volumen de Bioportadores en Reactor </t>
  </si>
  <si>
    <t>Area de Biopelícula  Disponible</t>
  </si>
  <si>
    <t>Consumo de Energía Específico (por m3 de agua tratada)</t>
  </si>
  <si>
    <t>kW-h/m3</t>
  </si>
  <si>
    <t>Consumo Anual de Energía</t>
  </si>
  <si>
    <t xml:space="preserve">Potencia Eléctrica Hidráulica de Bombeo  Requerida </t>
  </si>
  <si>
    <t>Kw-h/año</t>
  </si>
  <si>
    <t>Tiempo de Operación de la Bomba de Aireación</t>
  </si>
  <si>
    <t>Carga Orgánica Superficial en Bioportadores Máxima (Surface Area Load Rate) requerida para Nitrificación Autótrofa</t>
  </si>
  <si>
    <t xml:space="preserve">SALR  </t>
  </si>
  <si>
    <r>
      <t>gr DBO/m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  <charset val="1"/>
      </rPr>
      <t>*día</t>
    </r>
  </si>
  <si>
    <t>Carga Orgánica Superficial en Bioportadores  calculada</t>
  </si>
  <si>
    <t>Tiempo de Decantación de Lodos</t>
  </si>
  <si>
    <t>Estequimetría Ecuación C-2</t>
  </si>
  <si>
    <t>Calculo de la Biopelícula</t>
  </si>
  <si>
    <t>kg DBO/día</t>
  </si>
  <si>
    <t>Kg SSV/día</t>
  </si>
  <si>
    <t>Frecuencia de Purga de Lodos por Unidad</t>
  </si>
  <si>
    <r>
      <t>D</t>
    </r>
    <r>
      <rPr>
        <sz val="11"/>
        <color theme="1"/>
        <rFont val="Arial"/>
        <family val="2"/>
      </rPr>
      <t>DBO</t>
    </r>
  </si>
  <si>
    <t>Coeficiente de Producción de Lodos</t>
  </si>
  <si>
    <t xml:space="preserve">Constante de Declinación Endógena </t>
  </si>
  <si>
    <t>Kd</t>
  </si>
  <si>
    <t>1/día</t>
  </si>
  <si>
    <t>Días</t>
  </si>
  <si>
    <t>Ps</t>
  </si>
  <si>
    <t>Ideam- UTP-Cinara (Ref. F-3)</t>
  </si>
  <si>
    <t>Información del Fabricante</t>
  </si>
  <si>
    <t xml:space="preserve">Carga Orgánica Volumétrica  OLR (Organic Load Rate)&lt;1,45 </t>
  </si>
  <si>
    <t>Parámetros del Reactor Secuencial  de Biopelícula</t>
  </si>
  <si>
    <t xml:space="preserve">Altura de la Capa de Bioportadores </t>
  </si>
  <si>
    <t>Hoja "Nitrificación"</t>
  </si>
  <si>
    <t>Hoja "Válvula Flotador"</t>
  </si>
  <si>
    <t>Hoja "Agua-T(°C)"</t>
  </si>
  <si>
    <t>Yn</t>
  </si>
  <si>
    <t>Carga diaria de NH4 a Remover</t>
  </si>
  <si>
    <t>Tasa de Produccion de Lodos Amoniacales</t>
  </si>
  <si>
    <t>Pn</t>
  </si>
  <si>
    <t>Kg VSS/Kg N removido</t>
  </si>
  <si>
    <t xml:space="preserve">Producción de Lodos Amoniacales con Base Seca </t>
  </si>
  <si>
    <t>kg SSV/día</t>
  </si>
  <si>
    <t xml:space="preserve">Cantidad Total de Lodos con Base Seca </t>
  </si>
  <si>
    <t>Ps+Pn</t>
  </si>
  <si>
    <t>Profundidad de los Lodos</t>
  </si>
  <si>
    <t>Ancho</t>
  </si>
  <si>
    <t>Capítulo F-2.6. Diseño de Lechos de Secado</t>
  </si>
  <si>
    <t>Tiempo de Etapa de Decantación y Secado</t>
  </si>
  <si>
    <t>Volumen de Lodos y Agua por Módulo</t>
  </si>
  <si>
    <t>Contenido a Sólidos a Alcanzar con Bombeo</t>
  </si>
  <si>
    <t>30 a 40%</t>
  </si>
  <si>
    <t>Volumen de Agua a Extraer</t>
  </si>
  <si>
    <t>Caudal de Operación de la Bomba</t>
  </si>
  <si>
    <t>Factor de Operación de la Bomba</t>
  </si>
  <si>
    <t>Tiempo de Drenaje de Lodos con Bombeo</t>
  </si>
  <si>
    <t>Presion de Succión de Bomba  Especificada</t>
  </si>
  <si>
    <t>Altura del Sifonaje</t>
  </si>
  <si>
    <t>Presion de Succión en Lecho de Secado</t>
  </si>
  <si>
    <t>Gradiente Teorico de Filtración por Gravedad</t>
  </si>
  <si>
    <t>Peso del Lodo Seco por Jornada</t>
  </si>
  <si>
    <t>Kg</t>
  </si>
  <si>
    <t>https://www.engineeringtoolbox.com/density-materials-d_1652.html</t>
  </si>
  <si>
    <t>Densidad de la Arena</t>
  </si>
  <si>
    <t xml:space="preserve">gr/cm3 </t>
  </si>
  <si>
    <t>Kg/m3</t>
  </si>
  <si>
    <t>Altura de la Capa de Arena Removida</t>
  </si>
  <si>
    <t>Volúmen de la Arena Extraída a Reponer</t>
  </si>
  <si>
    <t xml:space="preserve">Peso de la Arena Extraída por Jornada  </t>
  </si>
  <si>
    <t>Peso Total de Solidos Secos Extraído por Jornada</t>
  </si>
  <si>
    <t>Peso del Agua Remanente</t>
  </si>
  <si>
    <t>Peso Total de Biosólido Extraído por Jornada</t>
  </si>
  <si>
    <t>Tasa de Aplicación Máxima</t>
  </si>
  <si>
    <t>Kg sólidos/m2-año</t>
  </si>
  <si>
    <t>Area de Módulo Requerida</t>
  </si>
  <si>
    <t>Area Total de Lechos</t>
  </si>
  <si>
    <t>Area del Módulo Dispuesta</t>
  </si>
  <si>
    <t>Planos de Diseño</t>
  </si>
  <si>
    <t>Proporción de Bioportadores en Zona Aireada</t>
  </si>
  <si>
    <t>Nivel del agua sobre Valvula de Flotador (Pérdidas en Tuberia)</t>
  </si>
  <si>
    <t>Hvf</t>
  </si>
  <si>
    <t>Funcion Objetivo: Valor de Hvf</t>
  </si>
  <si>
    <t>Calcullar con Función Objetivo</t>
  </si>
  <si>
    <t>Capacidad de Cada Valvula de Flotador</t>
  </si>
  <si>
    <t>Capacidad Total de las Valvulas de Flotador</t>
  </si>
  <si>
    <t>Tuberia de Salida del Filtro Flotante</t>
  </si>
  <si>
    <t>Tuberia hasta Válvula de Flotador</t>
  </si>
  <si>
    <t xml:space="preserve">Caudal  </t>
  </si>
  <si>
    <t>Valvula de Compuerta Abierta</t>
  </si>
  <si>
    <t>Válvula de Flotador</t>
  </si>
  <si>
    <t>Diametro del Orificio</t>
  </si>
  <si>
    <t>Coeficiente de Pérdidas</t>
  </si>
  <si>
    <t>Perdidas de Cabeza en la Válvula</t>
  </si>
  <si>
    <t>TUBERÍA DE AIREACIÓN</t>
  </si>
  <si>
    <t>Total Pérdidas:</t>
  </si>
  <si>
    <t>Tubería de Succión</t>
  </si>
  <si>
    <t>Caudal Total</t>
  </si>
  <si>
    <t>Tabla B. 6,30, RAS</t>
  </si>
  <si>
    <t>Codo de radio corto</t>
  </si>
  <si>
    <t>Tabla F-7.  Val Matic Valve &amp; Mfg</t>
  </si>
  <si>
    <t>Valvula de cheque</t>
  </si>
  <si>
    <t>Tubería de Descarga</t>
  </si>
  <si>
    <t>Tubería de Distribución</t>
  </si>
  <si>
    <r>
      <t>Coeficiente C</t>
    </r>
    <r>
      <rPr>
        <vertAlign val="subscript"/>
        <sz val="11"/>
        <color rgb="FF000000"/>
        <rFont val="Arial"/>
        <family val="2"/>
      </rPr>
      <t>HW</t>
    </r>
    <r>
      <rPr>
        <sz val="11"/>
        <color rgb="FF000000"/>
        <rFont val="Arial"/>
        <family val="2"/>
      </rPr>
      <t xml:space="preserve"> =</t>
    </r>
  </si>
  <si>
    <t>Caudal Inicial</t>
  </si>
  <si>
    <t>Longitud de la Línea</t>
  </si>
  <si>
    <t>Tramo</t>
  </si>
  <si>
    <t>Diámetro D</t>
  </si>
  <si>
    <t>Caudal Q</t>
  </si>
  <si>
    <t>Pérdidas hf</t>
  </si>
  <si>
    <t>Parrilla de Aireación</t>
  </si>
  <si>
    <t>Numero de Tuberías</t>
  </si>
  <si>
    <t>Separación entre Ramales</t>
  </si>
  <si>
    <t>Longitud de la Parrilla</t>
  </si>
  <si>
    <t>Caudal por Ramal</t>
  </si>
  <si>
    <t>Hoja "Parrilla Nitrificación Parcial"</t>
  </si>
  <si>
    <t>No de Lineas de Bombeo</t>
  </si>
  <si>
    <t>Numero de Parrillas por Línea</t>
  </si>
  <si>
    <t>Producción de Lodos Organicos con Base Seca</t>
  </si>
  <si>
    <t>Hoja "Válvula de Flotador"</t>
  </si>
  <si>
    <t>Ecuación F-11</t>
  </si>
  <si>
    <t>Ecuación F-12</t>
  </si>
  <si>
    <t>Diámetro</t>
  </si>
  <si>
    <t>Separación entre Parrillas</t>
  </si>
  <si>
    <t>Longitud Inicial</t>
  </si>
  <si>
    <t>Espaciamiento entre Parrillas</t>
  </si>
  <si>
    <t>Longitud Mínima de la Parrilla</t>
  </si>
  <si>
    <t>Separación Minima entre Parrillas</t>
  </si>
  <si>
    <t>Tabla A-7 del Capítulo A-5.</t>
  </si>
  <si>
    <t>Ecuación A -11, Cap. A-3</t>
  </si>
  <si>
    <t>Ecuación A-4, Cap A-1</t>
  </si>
  <si>
    <t>Ecuación A-9  de Andrzej Bin  (Ref. A-9), Cap. A-3</t>
  </si>
  <si>
    <t>Figura A-9, Jie Yin Jing  (Ref. A-10), Cap. A-3</t>
  </si>
  <si>
    <t>Ecuación A-10, Cap. A-3</t>
  </si>
  <si>
    <t>Ecuación A-3, Cap A-1</t>
  </si>
  <si>
    <t>Ecuación A-2, Cap. A-1</t>
  </si>
  <si>
    <t xml:space="preserve">Información de Entrada </t>
  </si>
  <si>
    <t>Información de Salida</t>
  </si>
  <si>
    <t>Profundidad Media de Zona de Procesos Anaeróbicos</t>
  </si>
  <si>
    <t>60 a 70%</t>
  </si>
  <si>
    <t>Remoción de Carbono en Uasb sin Bioportadores</t>
  </si>
  <si>
    <t>Tasa de Remoción de Carbono en Uasb sin Bioportadores</t>
  </si>
  <si>
    <t>Porcentaje del Carbono Removido sin Bioportadores</t>
  </si>
  <si>
    <t xml:space="preserve">Tanque Uasb </t>
  </si>
  <si>
    <t>Jairo Alberto Romero. (Ref. D-13). Ec.5,8  Ecuación D-1</t>
  </si>
  <si>
    <t>Kg DQO/d</t>
  </si>
  <si>
    <t>Kg NH4/día</t>
  </si>
  <si>
    <t>Remoción de Carbono por  Desnitrificación</t>
  </si>
  <si>
    <r>
      <t>grDQO/grNH</t>
    </r>
    <r>
      <rPr>
        <vertAlign val="subscript"/>
        <sz val="11"/>
        <rFont val="Arial"/>
        <family val="2"/>
      </rPr>
      <t>4</t>
    </r>
  </si>
  <si>
    <t>Ecuación A-16  Van de Donk (Ref. A-7) Cap. A-3.</t>
  </si>
  <si>
    <t xml:space="preserve">Remoción de Carga Orgánica </t>
  </si>
  <si>
    <t>N.sg/m2</t>
  </si>
  <si>
    <t>Hoja "Agua-T(°C)</t>
  </si>
  <si>
    <t>Viscocidad Dinámica del Agua a T°C</t>
  </si>
  <si>
    <t xml:space="preserve">μ </t>
  </si>
  <si>
    <t>Figura C-5. Kody García, (Ref.  C-19 )</t>
  </si>
  <si>
    <t xml:space="preserve">Rango del Gradiente de Velocidad   </t>
  </si>
  <si>
    <t>G</t>
  </si>
  <si>
    <t>184 a 342</t>
  </si>
  <si>
    <t>1/s</t>
  </si>
  <si>
    <t>Ecuación C-6  Num. C-2.3</t>
  </si>
  <si>
    <t>Gradiente de Velocidad en Biorreactor Flotante                    G</t>
  </si>
  <si>
    <t>Longitud entre Soportes de Parrilla</t>
  </si>
  <si>
    <t>Separación entre Parrillas adoptada</t>
  </si>
  <si>
    <t>Ecuación A-17</t>
  </si>
  <si>
    <t>Hoja "Parrilla de Nitrificación Parcial</t>
  </si>
  <si>
    <t>INTRUCCIONES SOBRE EL CÁLCULO ALTERNO</t>
  </si>
  <si>
    <t xml:space="preserve">Para revertir esta operación, se coloca en la casilla  del parámetro modificado el valor correspondiente </t>
  </si>
  <si>
    <t>En el cálculo alterno es necesario aplicar la Función Objetivo en los parámetros indicados.</t>
  </si>
  <si>
    <t xml:space="preserve">Para hacer la gráfica de un parámetro contra divesas variables, se ejecutan las siguientes instrucciones: </t>
  </si>
  <si>
    <t xml:space="preserve">- Los valores del parámetro van en la abscisa o eje horizontal, y los de las variables en las ordenadas. </t>
  </si>
  <si>
    <t>- Se rellena la fila a la derecha del parámetro con valores que se incrementan una cantidad fija.</t>
  </si>
  <si>
    <t xml:space="preserve">- Al finalizar, se copian los valores de la abcisa y las ordenadas, y se pegan traspuestos en otra hoja. </t>
  </si>
  <si>
    <t>- Se realiza la gráfica a partir de las columnas de la abcisa y  las ordenadas.</t>
  </si>
  <si>
    <t>PérdidasTotales</t>
  </si>
  <si>
    <t>Esta operación permite analizar el cambio de las variables calculadas al cambiar algunos parámetros.</t>
  </si>
  <si>
    <t>El cálculo alterno se realiza modificando el valor de uno o varios  parámetros en esta columna.</t>
  </si>
  <si>
    <t>Los parámetros que se puden modificar corresponden a la Información de Entrada.</t>
  </si>
  <si>
    <t xml:space="preserve">El color de este parámetro se cambia a un color distintivo para diferenciarlo. </t>
  </si>
  <si>
    <t>a la columna D, y luego se quita el color distintivo.</t>
  </si>
  <si>
    <t xml:space="preserve">Cuando el cambio en el parámetro afecta el caudal, podrían requerirse cambios en dimensiones de </t>
  </si>
  <si>
    <t>tuberías y estructuras.</t>
  </si>
  <si>
    <t>Para incorporar los cambios en el cálculo original, se copian en este los datos del Cálculo Alterno,</t>
  </si>
  <si>
    <t>y luego se quita el color distitivo.</t>
  </si>
  <si>
    <t>- En el Cálculo Alterno se coloca sucesivamente cada valor del parámetro, y los valores de las variables</t>
  </si>
  <si>
    <t xml:space="preserve">  de interés se copian en la misma fila, y en la columna correspondiente al valor del parámetro.</t>
  </si>
  <si>
    <t>- Esta operación se repite para todos los valores del parámetro.</t>
  </si>
  <si>
    <t>Perdidas</t>
  </si>
  <si>
    <t xml:space="preserve">Perdidas </t>
  </si>
  <si>
    <t xml:space="preserve">Se puede tener en la abscisa una variable (p.e. caudal) que sea directamente proporcional al parámetro </t>
  </si>
  <si>
    <t>que se cambia (p.e. velocidad de los chorros)</t>
  </si>
  <si>
    <t>y luego se quita el color distitivo en este último.</t>
  </si>
  <si>
    <t>- Se realiza la gráfica a partir de las columnas de la abcisa y de las ordenadas.</t>
  </si>
  <si>
    <t>Hoja "Parrilla de Nirificación Parcial"</t>
  </si>
  <si>
    <t>Fco</t>
  </si>
  <si>
    <t>Ecuación A-8</t>
  </si>
  <si>
    <t>Li</t>
  </si>
  <si>
    <t>Notas</t>
  </si>
  <si>
    <t>CO</t>
  </si>
  <si>
    <t>a la columna E, y luego se quita el color distintivo.</t>
  </si>
  <si>
    <t>Es importante verificar el cumplimento de las condiciones indIcadas en la columna D</t>
  </si>
  <si>
    <t>Planta MBBR Secuencial</t>
  </si>
  <si>
    <t>Hoja "Planta MBBR"</t>
  </si>
  <si>
    <t xml:space="preserve">Mazzei (Ref. A-17), Cap, A-4 </t>
  </si>
  <si>
    <t>Figura A-12 del Capítulo A-3</t>
  </si>
  <si>
    <t>Jairo Alberto Romero (Ref. D-15)</t>
  </si>
  <si>
    <t>Lawrence K. Wang et al, (Ref. F-7). Figura F-4</t>
  </si>
  <si>
    <t xml:space="preserve">Tabla F-3.  Lawrence K. Wang. (Ref. F-7) </t>
  </si>
  <si>
    <t>Lawrence K. Wang et al. (Ref. F-7), Numeral 6,4</t>
  </si>
  <si>
    <t>Ecuación F-6</t>
  </si>
  <si>
    <t>Veces que el flujo pasa a través de los bioportadores</t>
  </si>
  <si>
    <t>Figura A-12</t>
  </si>
  <si>
    <t>gr NH4/ciclo</t>
  </si>
  <si>
    <t>Carga de NH4  a Remover con Areación por Chorros por Ciclo</t>
  </si>
  <si>
    <t>Porcentaje de Tiempo de Tratamiento en Filtro Flotante</t>
  </si>
  <si>
    <t>Porcentaje Asumido de Carga de NH4 a Remover por Filtro Flotante</t>
  </si>
  <si>
    <t>Tasa de Remoción SARR Calculada</t>
  </si>
  <si>
    <t>Diferencia de Niveles</t>
  </si>
  <si>
    <r>
      <rPr>
        <sz val="12"/>
        <color theme="1"/>
        <rFont val="GreekC"/>
      </rPr>
      <t>D</t>
    </r>
    <r>
      <rPr>
        <sz val="12"/>
        <color theme="1"/>
        <rFont val="Calibri"/>
        <family val="2"/>
      </rPr>
      <t>h</t>
    </r>
  </si>
  <si>
    <r>
      <t xml:space="preserve">Aplicar Función Objetivo con valor de  </t>
    </r>
    <r>
      <rPr>
        <sz val="11"/>
        <color rgb="FFFF0000"/>
        <rFont val="GreekC"/>
      </rPr>
      <t>D</t>
    </r>
    <r>
      <rPr>
        <sz val="11"/>
        <color rgb="FFFF0000"/>
        <rFont val="Arial"/>
        <family val="2"/>
      </rPr>
      <t>h</t>
    </r>
  </si>
  <si>
    <t>Pérdidas Totales:</t>
  </si>
  <si>
    <t>Calcular con Función Objetivo</t>
  </si>
  <si>
    <t>Caudal Calculado</t>
  </si>
  <si>
    <t>Ramal Reecolector</t>
  </si>
  <si>
    <t xml:space="preserve">Pérdidas: </t>
  </si>
  <si>
    <t xml:space="preserve">Pérdidas </t>
  </si>
  <si>
    <t>Tuberia de Recircuclacion de RSB y Tanque Uasb</t>
  </si>
  <si>
    <t>Tubería de Recirculación</t>
  </si>
  <si>
    <t>Tee con Entrada lateral</t>
  </si>
  <si>
    <t>Caudal Asumido de Salida por Valvula de Flotador</t>
  </si>
  <si>
    <t>Hoja "Tuberías Varias"</t>
  </si>
  <si>
    <t xml:space="preserve">No de  Parrillas </t>
  </si>
  <si>
    <t>Caudal por Tubería de Rebose</t>
  </si>
  <si>
    <t>Hoja "Tubería de Aireación"</t>
  </si>
  <si>
    <t>Sistema de Recirculación y Purga de Lodos</t>
  </si>
  <si>
    <t>Dimensionamiento de los Lechos</t>
  </si>
  <si>
    <t>Procesos de Secado</t>
  </si>
  <si>
    <t xml:space="preserve">Caudal de Aireación </t>
  </si>
  <si>
    <t>Caudal de Recirculación hacia Entrada de Uasb</t>
  </si>
  <si>
    <t xml:space="preserve"> Lecho de Secado de Lodos </t>
  </si>
  <si>
    <t>Velocidad Ascendente en Tubería de Rebose</t>
  </si>
  <si>
    <t xml:space="preserve">Tiempo de Aireación sin Recirculación </t>
  </si>
  <si>
    <t xml:space="preserve">Tiempo de Aireación con Recirculación </t>
  </si>
  <si>
    <t>Fuentes: Harlan H. Bengtson(Ref. D-9) y Bjorn Rusten et al. (Ref. D-9)</t>
  </si>
  <si>
    <t>Andreas Bertino. (Ref. D-10)</t>
  </si>
  <si>
    <t>Figura D-4. Andreas Bertino. (Ref. D-10)</t>
  </si>
  <si>
    <t>Metcalf &amp; Eddy. (Ref. D-29), Cap. A-1</t>
  </si>
  <si>
    <t xml:space="preserve"> Tabla 14,7, Metcalf&amp;Eddy. (Ref. D-29)</t>
  </si>
  <si>
    <t>Wen-Ru Liu et al, (Ref. D-11)</t>
  </si>
  <si>
    <t>Javier Alfonso Claros Bedoya (Ref. D-7. Tabla 6.1)</t>
  </si>
  <si>
    <t>Jairo Alberto Romero Rojas. Tabla 25.5. (Ref. D-13)</t>
  </si>
  <si>
    <t>Eficiencia Remoción de DBO5</t>
  </si>
  <si>
    <t>Parámetros Principales de Entrada y Salida</t>
  </si>
  <si>
    <t>Meta de Eficiencia Remoción de DBO5</t>
  </si>
  <si>
    <t>Movimiento de Materiales por Etapa</t>
  </si>
  <si>
    <t>PARRILLA DENITRIFICACIÓN PARCIAL</t>
  </si>
  <si>
    <t>Figura D-4. Andrea Bertino. (Ref. D-10)</t>
  </si>
  <si>
    <t>Concentración Máxima de O2  en el Tanque</t>
  </si>
  <si>
    <t>Concentración Mínima de O2  en el Tanque</t>
  </si>
  <si>
    <t>Curva característica de la bomba</t>
  </si>
  <si>
    <t>Sistema de Bombeo de Aireación y Recirculación</t>
  </si>
  <si>
    <t>Remoción SARR Mínima en Bioportadores para Nitrificación 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</si>
</sst>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0.000"/>
    <numFmt numFmtId="166" formatCode="0.0"/>
    <numFmt numFmtId="167" formatCode="0.0%"/>
    <numFmt numFmtId="168" formatCode="0.0000"/>
    <numFmt numFmtId="169" formatCode="_-* #,##0.00\ _€_-;\-* #,##0.00\ _€_-;_-* \-??\ _€_-;_-@_-"/>
    <numFmt numFmtId="170" formatCode="0.000000"/>
    <numFmt numFmtId="171" formatCode="#,##0.0"/>
    <numFmt numFmtId="172" formatCode="_(* #,##0.000_);_(* \(#,##0.000\);_(* &quot;-&quot;??_);_(@_)"/>
    <numFmt numFmtId="173" formatCode="_(* #,##0_);_(* \(#,##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1"/>
      <color rgb="FFFF0000"/>
      <name val="Arial"/>
      <family val="2"/>
      <charset val="1"/>
    </font>
    <font>
      <sz val="11"/>
      <color rgb="FF000000"/>
      <name val="Calibri"/>
      <family val="2"/>
      <charset val="1"/>
    </font>
    <font>
      <vertAlign val="subscript"/>
      <sz val="11"/>
      <name val="Arial"/>
      <family val="2"/>
    </font>
    <font>
      <vertAlign val="subscript"/>
      <sz val="11"/>
      <color theme="1"/>
      <name val="Arial"/>
      <family val="2"/>
    </font>
    <font>
      <sz val="11"/>
      <name val="Calibri"/>
      <family val="2"/>
      <charset val="1"/>
    </font>
    <font>
      <sz val="11"/>
      <color rgb="FF000000"/>
      <name val="Arial"/>
      <family val="2"/>
    </font>
    <font>
      <b/>
      <sz val="12"/>
      <name val="Arial"/>
      <family val="2"/>
    </font>
    <font>
      <sz val="11"/>
      <name val="GreekC"/>
    </font>
    <font>
      <u/>
      <sz val="11"/>
      <color theme="10"/>
      <name val="Calibri"/>
      <family val="2"/>
      <scheme val="minor"/>
    </font>
    <font>
      <b/>
      <sz val="11"/>
      <color rgb="FF000000"/>
      <name val="GreekC"/>
    </font>
    <font>
      <vertAlign val="superscript"/>
      <sz val="11"/>
      <color rgb="FF000000"/>
      <name val="Arial"/>
      <family val="2"/>
    </font>
    <font>
      <vertAlign val="subscript"/>
      <sz val="11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Calibri"/>
      <family val="2"/>
      <charset val="1"/>
    </font>
    <font>
      <vertAlign val="superscript"/>
      <sz val="11"/>
      <color theme="1"/>
      <name val="Arial"/>
      <family val="2"/>
    </font>
    <font>
      <sz val="11"/>
      <color theme="1"/>
      <name val="GreekC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  <charset val="1"/>
    </font>
    <font>
      <b/>
      <sz val="11"/>
      <color rgb="FF000000"/>
      <name val="Arial"/>
      <family val="2"/>
    </font>
    <font>
      <sz val="12"/>
      <color theme="1"/>
      <name val="Calibri"/>
      <family val="2"/>
    </font>
    <font>
      <sz val="12"/>
      <color theme="1"/>
      <name val="GreekC"/>
    </font>
    <font>
      <sz val="11"/>
      <color rgb="FFFF0000"/>
      <name val="GreekC"/>
    </font>
    <font>
      <u/>
      <sz val="11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2F9F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99"/>
        <bgColor rgb="FFCCFFCC"/>
      </patternFill>
    </fill>
    <fill>
      <patternFill patternType="solid">
        <fgColor rgb="FFD2F9FE"/>
        <bgColor rgb="FFCCFFFF"/>
      </patternFill>
    </fill>
    <fill>
      <patternFill patternType="solid">
        <fgColor rgb="FFCCFFFF"/>
        <bgColor rgb="FFD2F9FE"/>
      </patternFill>
    </fill>
    <fill>
      <patternFill patternType="solid">
        <fgColor rgb="FFDEEBF7"/>
        <bgColor rgb="FFDBEEF4"/>
      </patternFill>
    </fill>
    <fill>
      <patternFill patternType="solid">
        <fgColor theme="8" tint="0.79998168889431442"/>
        <bgColor rgb="FFDBEEF4"/>
      </patternFill>
    </fill>
    <fill>
      <patternFill patternType="solid">
        <fgColor theme="5" tint="0.79998168889431442"/>
        <bgColor rgb="FFFBE5D6"/>
      </patternFill>
    </fill>
    <fill>
      <patternFill patternType="solid">
        <fgColor rgb="FFFFF2CC"/>
        <bgColor rgb="FFDEEBF7"/>
      </patternFill>
    </fill>
    <fill>
      <patternFill patternType="solid">
        <fgColor rgb="FFFFF2CC"/>
        <bgColor rgb="FFFDEADA"/>
      </patternFill>
    </fill>
    <fill>
      <patternFill patternType="solid">
        <fgColor theme="8" tint="0.79998168889431442"/>
        <bgColor rgb="FFEEEEEE"/>
      </patternFill>
    </fill>
    <fill>
      <patternFill patternType="solid">
        <fgColor theme="0"/>
        <bgColor rgb="FFEBF1DE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EBFED2"/>
      </patternFill>
    </fill>
    <fill>
      <patternFill patternType="solid">
        <fgColor theme="8" tint="0.79998168889431442"/>
        <bgColor rgb="FFEBF1D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DAE3F3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8" tint="0.79998168889431442"/>
        <bgColor rgb="FFD2F9FE"/>
      </patternFill>
    </fill>
    <fill>
      <patternFill patternType="solid">
        <fgColor rgb="FFCCFFFF"/>
        <bgColor rgb="FFDEEBF7"/>
      </patternFill>
    </fill>
    <fill>
      <patternFill patternType="solid">
        <fgColor rgb="FFFBE5D6"/>
        <bgColor rgb="FFFDEADA"/>
      </patternFill>
    </fill>
    <fill>
      <patternFill patternType="solid">
        <fgColor theme="9" tint="0.79998168889431442"/>
        <bgColor rgb="FFFDEADA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3" fillId="0" borderId="0"/>
    <xf numFmtId="9" fontId="16" fillId="0" borderId="0" applyBorder="0" applyProtection="0"/>
    <xf numFmtId="0" fontId="23" fillId="0" borderId="0" applyNumberFormat="0" applyFill="0" applyBorder="0" applyAlignment="0" applyProtection="0"/>
  </cellStyleXfs>
  <cellXfs count="699">
    <xf numFmtId="0" fontId="0" fillId="0" borderId="0" xfId="0"/>
    <xf numFmtId="0" fontId="0" fillId="0" borderId="2" xfId="0" applyBorder="1"/>
    <xf numFmtId="0" fontId="0" fillId="0" borderId="5" xfId="0" applyBorder="1"/>
    <xf numFmtId="0" fontId="3" fillId="0" borderId="4" xfId="0" applyFont="1" applyBorder="1"/>
    <xf numFmtId="0" fontId="3" fillId="0" borderId="5" xfId="0" applyFont="1" applyBorder="1"/>
    <xf numFmtId="0" fontId="3" fillId="0" borderId="3" xfId="0" applyFont="1" applyBorder="1"/>
    <xf numFmtId="0" fontId="3" fillId="0" borderId="5" xfId="0" applyFont="1" applyBorder="1" applyAlignment="1">
      <alignment horizontal="center"/>
    </xf>
    <xf numFmtId="0" fontId="3" fillId="7" borderId="4" xfId="0" applyFont="1" applyFill="1" applyBorder="1"/>
    <xf numFmtId="0" fontId="3" fillId="7" borderId="3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7" borderId="5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/>
    <xf numFmtId="0" fontId="5" fillId="0" borderId="4" xfId="0" applyFont="1" applyBorder="1"/>
    <xf numFmtId="0" fontId="5" fillId="0" borderId="3" xfId="0" applyFont="1" applyBorder="1"/>
    <xf numFmtId="0" fontId="4" fillId="0" borderId="9" xfId="0" applyFont="1" applyBorder="1"/>
    <xf numFmtId="0" fontId="4" fillId="0" borderId="0" xfId="0" applyFont="1"/>
    <xf numFmtId="0" fontId="3" fillId="5" borderId="4" xfId="0" applyFont="1" applyFill="1" applyBorder="1"/>
    <xf numFmtId="2" fontId="5" fillId="5" borderId="3" xfId="0" applyNumberFormat="1" applyFont="1" applyFill="1" applyBorder="1" applyAlignment="1">
      <alignment horizontal="left" indent="1"/>
    </xf>
    <xf numFmtId="0" fontId="3" fillId="6" borderId="4" xfId="0" applyFont="1" applyFill="1" applyBorder="1"/>
    <xf numFmtId="0" fontId="3" fillId="6" borderId="5" xfId="0" applyFont="1" applyFill="1" applyBorder="1"/>
    <xf numFmtId="0" fontId="3" fillId="6" borderId="3" xfId="0" applyFont="1" applyFill="1" applyBorder="1"/>
    <xf numFmtId="0" fontId="3" fillId="4" borderId="3" xfId="0" applyFont="1" applyFill="1" applyBorder="1"/>
    <xf numFmtId="0" fontId="5" fillId="7" borderId="3" xfId="0" applyFont="1" applyFill="1" applyBorder="1"/>
    <xf numFmtId="0" fontId="5" fillId="3" borderId="4" xfId="0" applyFont="1" applyFill="1" applyBorder="1"/>
    <xf numFmtId="0" fontId="5" fillId="0" borderId="0" xfId="0" applyFont="1"/>
    <xf numFmtId="0" fontId="5" fillId="0" borderId="0" xfId="0" applyFont="1" applyAlignment="1">
      <alignment horizontal="left"/>
    </xf>
    <xf numFmtId="0" fontId="0" fillId="4" borderId="5" xfId="0" applyFill="1" applyBorder="1"/>
    <xf numFmtId="2" fontId="3" fillId="0" borderId="5" xfId="0" applyNumberFormat="1" applyFont="1" applyBorder="1" applyAlignment="1">
      <alignment horizontal="right" indent="1"/>
    </xf>
    <xf numFmtId="1" fontId="3" fillId="5" borderId="5" xfId="0" applyNumberFormat="1" applyFont="1" applyFill="1" applyBorder="1" applyAlignment="1">
      <alignment horizontal="right" indent="1"/>
    </xf>
    <xf numFmtId="0" fontId="3" fillId="5" borderId="3" xfId="0" applyFont="1" applyFill="1" applyBorder="1"/>
    <xf numFmtId="0" fontId="3" fillId="4" borderId="4" xfId="0" applyFont="1" applyFill="1" applyBorder="1"/>
    <xf numFmtId="2" fontId="3" fillId="4" borderId="5" xfId="0" applyNumberFormat="1" applyFont="1" applyFill="1" applyBorder="1" applyAlignment="1">
      <alignment horizontal="right" indent="1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3" fontId="3" fillId="0" borderId="5" xfId="0" applyNumberFormat="1" applyFont="1" applyBorder="1" applyAlignment="1">
      <alignment horizontal="right" indent="1"/>
    </xf>
    <xf numFmtId="2" fontId="5" fillId="6" borderId="5" xfId="0" applyNumberFormat="1" applyFont="1" applyFill="1" applyBorder="1" applyAlignment="1">
      <alignment horizontal="right" indent="1"/>
    </xf>
    <xf numFmtId="0" fontId="5" fillId="3" borderId="5" xfId="0" applyFont="1" applyFill="1" applyBorder="1"/>
    <xf numFmtId="2" fontId="5" fillId="3" borderId="5" xfId="0" applyNumberFormat="1" applyFont="1" applyFill="1" applyBorder="1" applyAlignment="1">
      <alignment horizontal="right" indent="1"/>
    </xf>
    <xf numFmtId="2" fontId="5" fillId="3" borderId="3" xfId="0" applyNumberFormat="1" applyFont="1" applyFill="1" applyBorder="1"/>
    <xf numFmtId="2" fontId="5" fillId="0" borderId="5" xfId="0" applyNumberFormat="1" applyFont="1" applyBorder="1" applyAlignment="1">
      <alignment horizontal="right" indent="1"/>
    </xf>
    <xf numFmtId="0" fontId="3" fillId="0" borderId="2" xfId="0" applyFont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right" indent="1"/>
    </xf>
    <xf numFmtId="9" fontId="5" fillId="0" borderId="0" xfId="0" applyNumberFormat="1" applyFont="1" applyAlignment="1">
      <alignment horizontal="right" indent="1"/>
    </xf>
    <xf numFmtId="2" fontId="3" fillId="5" borderId="5" xfId="0" applyNumberFormat="1" applyFont="1" applyFill="1" applyBorder="1" applyAlignment="1">
      <alignment horizontal="right" indent="1"/>
    </xf>
    <xf numFmtId="2" fontId="3" fillId="6" borderId="5" xfId="0" applyNumberFormat="1" applyFont="1" applyFill="1" applyBorder="1" applyAlignment="1">
      <alignment horizontal="right" indent="1"/>
    </xf>
    <xf numFmtId="2" fontId="3" fillId="0" borderId="0" xfId="0" applyNumberFormat="1" applyFont="1" applyAlignment="1">
      <alignment horizontal="right" indent="1"/>
    </xf>
    <xf numFmtId="4" fontId="3" fillId="0" borderId="5" xfId="0" applyNumberFormat="1" applyFont="1" applyBorder="1" applyAlignment="1">
      <alignment horizontal="right" indent="1"/>
    </xf>
    <xf numFmtId="0" fontId="3" fillId="0" borderId="5" xfId="0" applyFont="1" applyBorder="1" applyAlignment="1">
      <alignment horizontal="right" indent="1"/>
    </xf>
    <xf numFmtId="0" fontId="5" fillId="5" borderId="5" xfId="0" applyFont="1" applyFill="1" applyBorder="1"/>
    <xf numFmtId="0" fontId="5" fillId="5" borderId="5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2" fontId="5" fillId="7" borderId="5" xfId="0" applyNumberFormat="1" applyFont="1" applyFill="1" applyBorder="1" applyAlignment="1">
      <alignment horizontal="right" indent="1"/>
    </xf>
    <xf numFmtId="0" fontId="7" fillId="0" borderId="2" xfId="0" applyFont="1" applyBorder="1" applyAlignment="1">
      <alignment horizontal="center"/>
    </xf>
    <xf numFmtId="0" fontId="5" fillId="5" borderId="5" xfId="0" applyFont="1" applyFill="1" applyBorder="1" applyAlignment="1">
      <alignment horizontal="right" indent="1"/>
    </xf>
    <xf numFmtId="0" fontId="6" fillId="0" borderId="9" xfId="0" applyFont="1" applyBorder="1"/>
    <xf numFmtId="0" fontId="5" fillId="8" borderId="6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2" fontId="6" fillId="0" borderId="0" xfId="0" applyNumberFormat="1" applyFont="1" applyAlignment="1">
      <alignment horizontal="right" indent="1"/>
    </xf>
    <xf numFmtId="2" fontId="9" fillId="0" borderId="0" xfId="0" applyNumberFormat="1" applyFont="1"/>
    <xf numFmtId="0" fontId="5" fillId="6" borderId="4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0" fillId="8" borderId="7" xfId="0" applyFill="1" applyBorder="1"/>
    <xf numFmtId="0" fontId="11" fillId="0" borderId="0" xfId="0" applyFont="1" applyAlignment="1">
      <alignment horizontal="center"/>
    </xf>
    <xf numFmtId="0" fontId="11" fillId="9" borderId="5" xfId="0" applyFont="1" applyFill="1" applyBorder="1" applyAlignment="1">
      <alignment horizontal="center"/>
    </xf>
    <xf numFmtId="3" fontId="11" fillId="9" borderId="5" xfId="0" applyNumberFormat="1" applyFont="1" applyFill="1" applyBorder="1" applyAlignment="1">
      <alignment horizontal="right" indent="1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vertical="center" wrapText="1"/>
    </xf>
    <xf numFmtId="2" fontId="11" fillId="0" borderId="5" xfId="0" applyNumberFormat="1" applyFont="1" applyBorder="1" applyAlignment="1">
      <alignment horizontal="right" indent="1"/>
    </xf>
    <xf numFmtId="2" fontId="11" fillId="0" borderId="9" xfId="0" applyNumberFormat="1" applyFont="1" applyBorder="1" applyAlignment="1">
      <alignment horizontal="right" vertical="center" indent="1"/>
    </xf>
    <xf numFmtId="4" fontId="11" fillId="9" borderId="5" xfId="0" applyNumberFormat="1" applyFont="1" applyFill="1" applyBorder="1" applyAlignment="1">
      <alignment horizontal="right" indent="1"/>
    </xf>
    <xf numFmtId="0" fontId="7" fillId="0" borderId="5" xfId="0" applyFont="1" applyBorder="1" applyAlignment="1">
      <alignment horizontal="center"/>
    </xf>
    <xf numFmtId="0" fontId="12" fillId="12" borderId="4" xfId="0" applyFont="1" applyFill="1" applyBorder="1"/>
    <xf numFmtId="0" fontId="11" fillId="12" borderId="5" xfId="0" applyFont="1" applyFill="1" applyBorder="1" applyAlignment="1">
      <alignment horizontal="center"/>
    </xf>
    <xf numFmtId="2" fontId="12" fillId="12" borderId="5" xfId="0" applyNumberFormat="1" applyFont="1" applyFill="1" applyBorder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center"/>
    </xf>
    <xf numFmtId="2" fontId="4" fillId="2" borderId="9" xfId="0" applyNumberFormat="1" applyFont="1" applyFill="1" applyBorder="1" applyAlignment="1">
      <alignment horizontal="right" indent="1"/>
    </xf>
    <xf numFmtId="0" fontId="11" fillId="9" borderId="4" xfId="0" applyFont="1" applyFill="1" applyBorder="1" applyAlignment="1">
      <alignment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12" fillId="0" borderId="4" xfId="0" applyFont="1" applyBorder="1"/>
    <xf numFmtId="2" fontId="12" fillId="0" borderId="5" xfId="0" applyNumberFormat="1" applyFont="1" applyBorder="1" applyAlignment="1">
      <alignment horizontal="right" indent="1"/>
    </xf>
    <xf numFmtId="0" fontId="12" fillId="0" borderId="3" xfId="0" applyFont="1" applyBorder="1"/>
    <xf numFmtId="2" fontId="11" fillId="16" borderId="9" xfId="0" applyNumberFormat="1" applyFont="1" applyFill="1" applyBorder="1" applyAlignment="1">
      <alignment horizontal="right" vertical="center" indent="1"/>
    </xf>
    <xf numFmtId="164" fontId="5" fillId="3" borderId="5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16" borderId="4" xfId="0" applyFont="1" applyFill="1" applyBorder="1" applyAlignment="1">
      <alignment vertical="center"/>
    </xf>
    <xf numFmtId="0" fontId="12" fillId="16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17" borderId="4" xfId="0" applyFont="1" applyFill="1" applyBorder="1" applyAlignment="1">
      <alignment vertical="center" wrapText="1"/>
    </xf>
    <xf numFmtId="0" fontId="11" fillId="17" borderId="5" xfId="0" applyFont="1" applyFill="1" applyBorder="1" applyAlignment="1">
      <alignment horizontal="center"/>
    </xf>
    <xf numFmtId="2" fontId="11" fillId="17" borderId="5" xfId="0" applyNumberFormat="1" applyFont="1" applyFill="1" applyBorder="1" applyAlignment="1">
      <alignment horizontal="right" indent="1"/>
    </xf>
    <xf numFmtId="0" fontId="11" fillId="17" borderId="3" xfId="0" applyFont="1" applyFill="1" applyBorder="1"/>
    <xf numFmtId="0" fontId="5" fillId="3" borderId="4" xfId="0" applyFont="1" applyFill="1" applyBorder="1" applyAlignment="1">
      <alignment vertical="center" wrapText="1"/>
    </xf>
    <xf numFmtId="2" fontId="5" fillId="3" borderId="3" xfId="0" applyNumberFormat="1" applyFont="1" applyFill="1" applyBorder="1" applyAlignment="1">
      <alignment vertical="center"/>
    </xf>
    <xf numFmtId="168" fontId="5" fillId="3" borderId="5" xfId="0" applyNumberFormat="1" applyFont="1" applyFill="1" applyBorder="1" applyAlignment="1">
      <alignment horizontal="right" vertical="center" indent="1"/>
    </xf>
    <xf numFmtId="0" fontId="11" fillId="17" borderId="5" xfId="0" applyFont="1" applyFill="1" applyBorder="1" applyAlignment="1">
      <alignment horizontal="center" vertical="center"/>
    </xf>
    <xf numFmtId="2" fontId="11" fillId="17" borderId="5" xfId="0" applyNumberFormat="1" applyFont="1" applyFill="1" applyBorder="1" applyAlignment="1">
      <alignment horizontal="right" vertical="center" indent="1"/>
    </xf>
    <xf numFmtId="0" fontId="11" fillId="17" borderId="3" xfId="0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0" fontId="5" fillId="4" borderId="3" xfId="0" applyFont="1" applyFill="1" applyBorder="1"/>
    <xf numFmtId="16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165" fontId="5" fillId="0" borderId="5" xfId="0" applyNumberFormat="1" applyFont="1" applyBorder="1" applyAlignment="1">
      <alignment horizontal="right" indent="1"/>
    </xf>
    <xf numFmtId="0" fontId="3" fillId="7" borderId="5" xfId="0" applyFont="1" applyFill="1" applyBorder="1"/>
    <xf numFmtId="0" fontId="0" fillId="0" borderId="0" xfId="0" applyAlignment="1">
      <alignment horizontal="right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3" fillId="0" borderId="0" xfId="4" applyAlignment="1">
      <alignment vertic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Border="1"/>
    <xf numFmtId="2" fontId="0" fillId="0" borderId="0" xfId="0" applyNumberFormat="1"/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9" xfId="0" applyBorder="1"/>
    <xf numFmtId="0" fontId="0" fillId="0" borderId="13" xfId="0" applyBorder="1"/>
    <xf numFmtId="0" fontId="0" fillId="0" borderId="7" xfId="0" applyBorder="1" applyAlignment="1">
      <alignment horizontal="left"/>
    </xf>
    <xf numFmtId="166" fontId="0" fillId="0" borderId="7" xfId="0" applyNumberFormat="1" applyBorder="1"/>
    <xf numFmtId="0" fontId="0" fillId="0" borderId="8" xfId="0" applyBorder="1" applyAlignment="1">
      <alignment horizontal="left"/>
    </xf>
    <xf numFmtId="165" fontId="0" fillId="0" borderId="9" xfId="0" applyNumberFormat="1" applyBorder="1"/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4" xfId="0" applyBorder="1" applyAlignment="1">
      <alignment horizontal="left"/>
    </xf>
    <xf numFmtId="11" fontId="0" fillId="0" borderId="5" xfId="0" applyNumberFormat="1" applyBorder="1"/>
    <xf numFmtId="0" fontId="0" fillId="0" borderId="5" xfId="0" applyBorder="1" applyAlignment="1">
      <alignment horizontal="left"/>
    </xf>
    <xf numFmtId="2" fontId="0" fillId="0" borderId="5" xfId="0" applyNumberFormat="1" applyBorder="1"/>
    <xf numFmtId="0" fontId="0" fillId="0" borderId="6" xfId="0" applyBorder="1" applyAlignment="1">
      <alignment horizontal="right"/>
    </xf>
    <xf numFmtId="0" fontId="0" fillId="0" borderId="12" xfId="0" applyBorder="1"/>
    <xf numFmtId="0" fontId="0" fillId="0" borderId="11" xfId="0" applyBorder="1" applyAlignment="1">
      <alignment horizontal="right"/>
    </xf>
    <xf numFmtId="2" fontId="0" fillId="0" borderId="11" xfId="0" applyNumberFormat="1" applyBorder="1"/>
    <xf numFmtId="1" fontId="0" fillId="0" borderId="6" xfId="0" applyNumberFormat="1" applyBorder="1"/>
    <xf numFmtId="165" fontId="0" fillId="0" borderId="12" xfId="0" applyNumberFormat="1" applyBorder="1"/>
    <xf numFmtId="11" fontId="0" fillId="0" borderId="4" xfId="0" applyNumberFormat="1" applyBorder="1"/>
    <xf numFmtId="2" fontId="0" fillId="0" borderId="4" xfId="0" applyNumberFormat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3" xfId="0" applyNumberFormat="1" applyBorder="1" applyAlignment="1">
      <alignment horizontal="center"/>
    </xf>
    <xf numFmtId="0" fontId="0" fillId="0" borderId="6" xfId="0" applyBorder="1" applyAlignment="1">
      <alignment horizontal="center" wrapText="1"/>
    </xf>
    <xf numFmtId="166" fontId="0" fillId="0" borderId="2" xfId="0" applyNumberFormat="1" applyBorder="1" applyAlignment="1">
      <alignment horizontal="center"/>
    </xf>
    <xf numFmtId="4" fontId="11" fillId="0" borderId="5" xfId="0" applyNumberFormat="1" applyFont="1" applyBorder="1" applyAlignment="1">
      <alignment horizontal="right" indent="1"/>
    </xf>
    <xf numFmtId="2" fontId="11" fillId="0" borderId="2" xfId="0" applyNumberFormat="1" applyFont="1" applyBorder="1" applyAlignment="1">
      <alignment horizontal="right" indent="1"/>
    </xf>
    <xf numFmtId="2" fontId="5" fillId="0" borderId="5" xfId="0" applyNumberFormat="1" applyFont="1" applyBorder="1" applyAlignment="1">
      <alignment horizontal="right" vertical="center" indent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right" indent="1"/>
    </xf>
    <xf numFmtId="0" fontId="11" fillId="0" borderId="0" xfId="0" applyFont="1"/>
    <xf numFmtId="0" fontId="20" fillId="3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7" fillId="19" borderId="2" xfId="0" applyFont="1" applyFill="1" applyBorder="1" applyAlignment="1">
      <alignment horizontal="center" vertical="center" wrapText="1"/>
    </xf>
    <xf numFmtId="2" fontId="27" fillId="19" borderId="2" xfId="0" applyNumberFormat="1" applyFont="1" applyFill="1" applyBorder="1" applyAlignment="1">
      <alignment horizontal="center" vertical="center" wrapText="1"/>
    </xf>
    <xf numFmtId="170" fontId="27" fillId="19" borderId="2" xfId="0" applyNumberFormat="1" applyFont="1" applyFill="1" applyBorder="1" applyAlignment="1">
      <alignment horizontal="center" vertical="center" wrapText="1"/>
    </xf>
    <xf numFmtId="11" fontId="0" fillId="0" borderId="2" xfId="0" applyNumberFormat="1" applyBorder="1" applyAlignment="1">
      <alignment horizontal="center"/>
    </xf>
    <xf numFmtId="0" fontId="23" fillId="0" borderId="12" xfId="4" applyBorder="1"/>
    <xf numFmtId="0" fontId="0" fillId="0" borderId="9" xfId="0" applyBorder="1" applyAlignment="1">
      <alignment horizontal="center"/>
    </xf>
    <xf numFmtId="0" fontId="5" fillId="17" borderId="4" xfId="0" applyFont="1" applyFill="1" applyBorder="1" applyAlignment="1">
      <alignment vertical="center" wrapText="1"/>
    </xf>
    <xf numFmtId="0" fontId="5" fillId="17" borderId="5" xfId="0" applyFont="1" applyFill="1" applyBorder="1" applyAlignment="1">
      <alignment horizontal="center"/>
    </xf>
    <xf numFmtId="0" fontId="5" fillId="17" borderId="3" xfId="0" applyFont="1" applyFill="1" applyBorder="1"/>
    <xf numFmtId="0" fontId="5" fillId="0" borderId="6" xfId="0" applyFont="1" applyBorder="1" applyAlignment="1">
      <alignment vertical="center" wrapText="1"/>
    </xf>
    <xf numFmtId="2" fontId="5" fillId="18" borderId="7" xfId="0" applyNumberFormat="1" applyFont="1" applyFill="1" applyBorder="1" applyAlignment="1">
      <alignment horizontal="right" indent="1"/>
    </xf>
    <xf numFmtId="0" fontId="5" fillId="0" borderId="8" xfId="0" applyFont="1" applyBorder="1" applyAlignment="1">
      <alignment horizontal="left"/>
    </xf>
    <xf numFmtId="2" fontId="5" fillId="18" borderId="9" xfId="0" applyNumberFormat="1" applyFont="1" applyFill="1" applyBorder="1" applyAlignment="1">
      <alignment horizontal="right" indent="1"/>
    </xf>
    <xf numFmtId="0" fontId="5" fillId="0" borderId="13" xfId="0" applyFont="1" applyBorder="1" applyAlignment="1">
      <alignment horizontal="left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right" vertical="center" indent="1"/>
    </xf>
    <xf numFmtId="0" fontId="5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right" vertical="center" indent="1"/>
    </xf>
    <xf numFmtId="0" fontId="5" fillId="4" borderId="3" xfId="0" applyFont="1" applyFill="1" applyBorder="1" applyAlignment="1">
      <alignment vertical="center"/>
    </xf>
    <xf numFmtId="0" fontId="5" fillId="10" borderId="4" xfId="0" applyFont="1" applyFill="1" applyBorder="1"/>
    <xf numFmtId="1" fontId="5" fillId="11" borderId="5" xfId="0" applyNumberFormat="1" applyFont="1" applyFill="1" applyBorder="1" applyAlignment="1">
      <alignment horizontal="center"/>
    </xf>
    <xf numFmtId="2" fontId="5" fillId="11" borderId="5" xfId="0" applyNumberFormat="1" applyFont="1" applyFill="1" applyBorder="1" applyAlignment="1">
      <alignment horizontal="right" indent="1"/>
    </xf>
    <xf numFmtId="0" fontId="5" fillId="11" borderId="3" xfId="0" applyFont="1" applyFill="1" applyBorder="1"/>
    <xf numFmtId="166" fontId="5" fillId="17" borderId="5" xfId="0" applyNumberFormat="1" applyFont="1" applyFill="1" applyBorder="1" applyAlignment="1">
      <alignment horizontal="right" indent="1"/>
    </xf>
    <xf numFmtId="2" fontId="5" fillId="3" borderId="5" xfId="0" applyNumberFormat="1" applyFont="1" applyFill="1" applyBorder="1" applyAlignment="1">
      <alignment horizontal="right" vertical="center" indent="1"/>
    </xf>
    <xf numFmtId="0" fontId="11" fillId="0" borderId="4" xfId="0" applyFont="1" applyBorder="1"/>
    <xf numFmtId="0" fontId="11" fillId="0" borderId="3" xfId="0" applyFont="1" applyBorder="1"/>
    <xf numFmtId="0" fontId="3" fillId="4" borderId="5" xfId="0" applyFont="1" applyFill="1" applyBorder="1" applyAlignment="1">
      <alignment horizontal="center"/>
    </xf>
    <xf numFmtId="0" fontId="3" fillId="20" borderId="4" xfId="0" applyFont="1" applyFill="1" applyBorder="1"/>
    <xf numFmtId="0" fontId="3" fillId="20" borderId="5" xfId="0" applyFont="1" applyFill="1" applyBorder="1" applyAlignment="1">
      <alignment horizontal="center"/>
    </xf>
    <xf numFmtId="2" fontId="3" fillId="20" borderId="5" xfId="0" applyNumberFormat="1" applyFont="1" applyFill="1" applyBorder="1" applyAlignment="1">
      <alignment horizontal="right" indent="1"/>
    </xf>
    <xf numFmtId="0" fontId="3" fillId="20" borderId="3" xfId="0" applyFont="1" applyFill="1" applyBorder="1"/>
    <xf numFmtId="166" fontId="11" fillId="4" borderId="5" xfId="0" applyNumberFormat="1" applyFont="1" applyFill="1" applyBorder="1" applyAlignment="1">
      <alignment horizontal="right" vertical="center" indent="1"/>
    </xf>
    <xf numFmtId="2" fontId="20" fillId="0" borderId="5" xfId="0" applyNumberFormat="1" applyFont="1" applyBorder="1" applyAlignment="1">
      <alignment horizontal="center"/>
    </xf>
    <xf numFmtId="2" fontId="20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5" fillId="0" borderId="9" xfId="0" applyFont="1" applyBorder="1"/>
    <xf numFmtId="0" fontId="7" fillId="20" borderId="5" xfId="0" applyFont="1" applyFill="1" applyBorder="1" applyAlignment="1">
      <alignment horizontal="center"/>
    </xf>
    <xf numFmtId="2" fontId="5" fillId="20" borderId="5" xfId="0" applyNumberFormat="1" applyFont="1" applyFill="1" applyBorder="1" applyAlignment="1">
      <alignment horizontal="right" indent="1"/>
    </xf>
    <xf numFmtId="0" fontId="5" fillId="20" borderId="4" xfId="0" applyFont="1" applyFill="1" applyBorder="1"/>
    <xf numFmtId="0" fontId="5" fillId="20" borderId="5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5" borderId="4" xfId="0" applyFont="1" applyFill="1" applyBorder="1"/>
    <xf numFmtId="0" fontId="5" fillId="4" borderId="5" xfId="0" applyFont="1" applyFill="1" applyBorder="1" applyAlignment="1">
      <alignment horizontal="center"/>
    </xf>
    <xf numFmtId="166" fontId="3" fillId="4" borderId="5" xfId="0" applyNumberFormat="1" applyFont="1" applyFill="1" applyBorder="1" applyAlignment="1">
      <alignment horizontal="right" indent="1"/>
    </xf>
    <xf numFmtId="2" fontId="5" fillId="0" borderId="0" xfId="0" applyNumberFormat="1" applyFont="1" applyAlignment="1">
      <alignment horizontal="right" indent="1"/>
    </xf>
    <xf numFmtId="1" fontId="5" fillId="0" borderId="5" xfId="0" applyNumberFormat="1" applyFont="1" applyBorder="1" applyAlignment="1">
      <alignment horizontal="right" indent="1"/>
    </xf>
    <xf numFmtId="9" fontId="5" fillId="0" borderId="5" xfId="0" applyNumberFormat="1" applyFont="1" applyBorder="1" applyAlignment="1">
      <alignment horizontal="right" indent="1"/>
    </xf>
    <xf numFmtId="0" fontId="5" fillId="6" borderId="12" xfId="0" applyFont="1" applyFill="1" applyBorder="1"/>
    <xf numFmtId="10" fontId="3" fillId="6" borderId="9" xfId="1" applyNumberFormat="1" applyFont="1" applyFill="1" applyBorder="1" applyAlignment="1">
      <alignment horizontal="center"/>
    </xf>
    <xf numFmtId="1" fontId="3" fillId="6" borderId="9" xfId="0" applyNumberFormat="1" applyFont="1" applyFill="1" applyBorder="1" applyAlignment="1">
      <alignment horizontal="right" indent="1"/>
    </xf>
    <xf numFmtId="10" fontId="3" fillId="4" borderId="5" xfId="1" applyNumberFormat="1" applyFont="1" applyFill="1" applyBorder="1" applyAlignment="1">
      <alignment horizontal="center"/>
    </xf>
    <xf numFmtId="0" fontId="5" fillId="4" borderId="5" xfId="0" applyFont="1" applyFill="1" applyBorder="1"/>
    <xf numFmtId="3" fontId="3" fillId="4" borderId="5" xfId="0" applyNumberFormat="1" applyFont="1" applyFill="1" applyBorder="1" applyAlignment="1">
      <alignment horizontal="right" indent="1"/>
    </xf>
    <xf numFmtId="4" fontId="3" fillId="20" borderId="5" xfId="0" applyNumberFormat="1" applyFont="1" applyFill="1" applyBorder="1" applyAlignment="1">
      <alignment horizontal="right" indent="1"/>
    </xf>
    <xf numFmtId="0" fontId="5" fillId="20" borderId="3" xfId="0" applyFont="1" applyFill="1" applyBorder="1"/>
    <xf numFmtId="2" fontId="11" fillId="0" borderId="0" xfId="0" applyNumberFormat="1" applyFont="1" applyAlignment="1">
      <alignment horizontal="right" vertical="center" indent="1"/>
    </xf>
    <xf numFmtId="0" fontId="12" fillId="0" borderId="8" xfId="0" applyFont="1" applyBorder="1"/>
    <xf numFmtId="0" fontId="12" fillId="22" borderId="8" xfId="0" applyFont="1" applyFill="1" applyBorder="1"/>
    <xf numFmtId="167" fontId="5" fillId="0" borderId="9" xfId="1" applyNumberFormat="1" applyFont="1" applyFill="1" applyBorder="1" applyAlignment="1">
      <alignment horizontal="right" indent="1"/>
    </xf>
    <xf numFmtId="0" fontId="12" fillId="21" borderId="5" xfId="0" applyFont="1" applyFill="1" applyBorder="1" applyAlignment="1">
      <alignment vertical="center"/>
    </xf>
    <xf numFmtId="2" fontId="11" fillId="22" borderId="5" xfId="0" applyNumberFormat="1" applyFont="1" applyFill="1" applyBorder="1" applyAlignment="1">
      <alignment horizontal="right" indent="1"/>
    </xf>
    <xf numFmtId="0" fontId="12" fillId="23" borderId="4" xfId="0" applyFont="1" applyFill="1" applyBorder="1" applyAlignment="1">
      <alignment vertical="center" wrapText="1"/>
    </xf>
    <xf numFmtId="0" fontId="11" fillId="23" borderId="5" xfId="0" applyFont="1" applyFill="1" applyBorder="1" applyAlignment="1">
      <alignment horizontal="center" vertical="center"/>
    </xf>
    <xf numFmtId="1" fontId="11" fillId="14" borderId="4" xfId="0" applyNumberFormat="1" applyFont="1" applyFill="1" applyBorder="1" applyAlignment="1">
      <alignment vertical="center" wrapText="1"/>
    </xf>
    <xf numFmtId="2" fontId="11" fillId="14" borderId="5" xfId="0" applyNumberFormat="1" applyFont="1" applyFill="1" applyBorder="1" applyAlignment="1">
      <alignment horizontal="right" vertical="center" indent="1"/>
    </xf>
    <xf numFmtId="2" fontId="11" fillId="23" borderId="5" xfId="0" applyNumberFormat="1" applyFont="1" applyFill="1" applyBorder="1" applyAlignment="1">
      <alignment horizontal="right" vertical="center" indent="1"/>
    </xf>
    <xf numFmtId="0" fontId="15" fillId="14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1" fontId="3" fillId="6" borderId="5" xfId="0" applyNumberFormat="1" applyFont="1" applyFill="1" applyBorder="1" applyAlignment="1">
      <alignment horizontal="right" indent="1"/>
    </xf>
    <xf numFmtId="0" fontId="11" fillId="21" borderId="4" xfId="0" applyFont="1" applyFill="1" applyBorder="1" applyAlignment="1">
      <alignment horizontal="left" vertical="center"/>
    </xf>
    <xf numFmtId="164" fontId="5" fillId="0" borderId="5" xfId="0" applyNumberFormat="1" applyFont="1" applyBorder="1" applyAlignment="1">
      <alignment horizontal="center" vertical="center"/>
    </xf>
    <xf numFmtId="2" fontId="5" fillId="0" borderId="3" xfId="0" applyNumberFormat="1" applyFont="1" applyBorder="1"/>
    <xf numFmtId="0" fontId="11" fillId="0" borderId="4" xfId="0" applyFont="1" applyBorder="1" applyAlignment="1">
      <alignment horizontal="left" vertical="center"/>
    </xf>
    <xf numFmtId="10" fontId="5" fillId="0" borderId="4" xfId="0" applyNumberFormat="1" applyFont="1" applyBorder="1"/>
    <xf numFmtId="164" fontId="5" fillId="0" borderId="5" xfId="0" applyNumberFormat="1" applyFont="1" applyBorder="1"/>
    <xf numFmtId="0" fontId="5" fillId="7" borderId="4" xfId="0" applyFont="1" applyFill="1" applyBorder="1" applyAlignment="1">
      <alignment vertical="center"/>
    </xf>
    <xf numFmtId="10" fontId="5" fillId="7" borderId="5" xfId="1" applyNumberFormat="1" applyFont="1" applyFill="1" applyBorder="1" applyAlignment="1">
      <alignment horizontal="center" vertical="center"/>
    </xf>
    <xf numFmtId="0" fontId="5" fillId="4" borderId="4" xfId="0" applyFont="1" applyFill="1" applyBorder="1"/>
    <xf numFmtId="9" fontId="3" fillId="4" borderId="5" xfId="0" applyNumberFormat="1" applyFont="1" applyFill="1" applyBorder="1" applyAlignment="1">
      <alignment horizontal="right" indent="1"/>
    </xf>
    <xf numFmtId="0" fontId="5" fillId="3" borderId="4" xfId="0" applyFont="1" applyFill="1" applyBorder="1" applyAlignment="1">
      <alignment vertical="center"/>
    </xf>
    <xf numFmtId="2" fontId="5" fillId="4" borderId="5" xfId="0" applyNumberFormat="1" applyFont="1" applyFill="1" applyBorder="1" applyAlignment="1">
      <alignment horizontal="right" indent="1"/>
    </xf>
    <xf numFmtId="0" fontId="3" fillId="8" borderId="4" xfId="0" applyFont="1" applyFill="1" applyBorder="1" applyAlignment="1">
      <alignment vertical="center"/>
    </xf>
    <xf numFmtId="0" fontId="33" fillId="8" borderId="5" xfId="0" applyFont="1" applyFill="1" applyBorder="1" applyAlignment="1">
      <alignment horizontal="center" vertical="center"/>
    </xf>
    <xf numFmtId="2" fontId="3" fillId="8" borderId="5" xfId="0" applyNumberFormat="1" applyFont="1" applyFill="1" applyBorder="1" applyAlignment="1">
      <alignment horizontal="right" vertical="center"/>
    </xf>
    <xf numFmtId="0" fontId="5" fillId="3" borderId="9" xfId="0" applyFont="1" applyFill="1" applyBorder="1"/>
    <xf numFmtId="0" fontId="3" fillId="6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20" borderId="5" xfId="0" applyFont="1" applyFill="1" applyBorder="1" applyAlignment="1">
      <alignment horizontal="center"/>
    </xf>
    <xf numFmtId="1" fontId="5" fillId="20" borderId="5" xfId="0" applyNumberFormat="1" applyFont="1" applyFill="1" applyBorder="1" applyAlignment="1">
      <alignment horizontal="right" indent="1"/>
    </xf>
    <xf numFmtId="0" fontId="3" fillId="20" borderId="3" xfId="0" applyFont="1" applyFill="1" applyBorder="1" applyAlignment="1">
      <alignment horizontal="left"/>
    </xf>
    <xf numFmtId="0" fontId="3" fillId="24" borderId="4" xfId="0" applyFont="1" applyFill="1" applyBorder="1"/>
    <xf numFmtId="0" fontId="5" fillId="24" borderId="5" xfId="0" applyFont="1" applyFill="1" applyBorder="1" applyAlignment="1">
      <alignment horizontal="center"/>
    </xf>
    <xf numFmtId="2" fontId="3" fillId="24" borderId="5" xfId="0" applyNumberFormat="1" applyFont="1" applyFill="1" applyBorder="1" applyAlignment="1">
      <alignment horizontal="right" indent="1"/>
    </xf>
    <xf numFmtId="0" fontId="3" fillId="24" borderId="3" xfId="0" applyFont="1" applyFill="1" applyBorder="1"/>
    <xf numFmtId="0" fontId="0" fillId="24" borderId="0" xfId="0" applyFill="1" applyAlignment="1">
      <alignment horizontal="right"/>
    </xf>
    <xf numFmtId="1" fontId="3" fillId="24" borderId="5" xfId="0" applyNumberFormat="1" applyFont="1" applyFill="1" applyBorder="1" applyAlignment="1">
      <alignment horizontal="right" indent="1"/>
    </xf>
    <xf numFmtId="0" fontId="3" fillId="8" borderId="4" xfId="0" applyFont="1" applyFill="1" applyBorder="1"/>
    <xf numFmtId="2" fontId="3" fillId="8" borderId="5" xfId="0" applyNumberFormat="1" applyFont="1" applyFill="1" applyBorder="1" applyAlignment="1">
      <alignment horizontal="right" indent="1"/>
    </xf>
    <xf numFmtId="0" fontId="3" fillId="8" borderId="3" xfId="0" applyFont="1" applyFill="1" applyBorder="1"/>
    <xf numFmtId="0" fontId="20" fillId="0" borderId="2" xfId="0" applyFont="1" applyBorder="1" applyAlignment="1">
      <alignment horizontal="right"/>
    </xf>
    <xf numFmtId="0" fontId="5" fillId="24" borderId="4" xfId="0" applyFont="1" applyFill="1" applyBorder="1"/>
    <xf numFmtId="2" fontId="3" fillId="24" borderId="5" xfId="1" applyNumberFormat="1" applyFont="1" applyFill="1" applyBorder="1" applyAlignment="1">
      <alignment horizontal="right" indent="1"/>
    </xf>
    <xf numFmtId="0" fontId="5" fillId="24" borderId="3" xfId="0" applyFont="1" applyFill="1" applyBorder="1"/>
    <xf numFmtId="0" fontId="11" fillId="0" borderId="5" xfId="0" applyFont="1" applyBorder="1"/>
    <xf numFmtId="0" fontId="3" fillId="0" borderId="0" xfId="0" applyFont="1" applyAlignment="1">
      <alignment horizontal="right"/>
    </xf>
    <xf numFmtId="0" fontId="3" fillId="0" borderId="6" xfId="0" applyFont="1" applyBorder="1"/>
    <xf numFmtId="9" fontId="3" fillId="0" borderId="7" xfId="0" applyNumberFormat="1" applyFont="1" applyBorder="1" applyAlignment="1">
      <alignment horizontal="right" indent="1"/>
    </xf>
    <xf numFmtId="0" fontId="3" fillId="0" borderId="8" xfId="0" applyFont="1" applyBorder="1"/>
    <xf numFmtId="3" fontId="3" fillId="0" borderId="7" xfId="0" applyNumberFormat="1" applyFont="1" applyBorder="1" applyAlignment="1">
      <alignment horizontal="right" indent="1"/>
    </xf>
    <xf numFmtId="0" fontId="3" fillId="24" borderId="6" xfId="0" applyFont="1" applyFill="1" applyBorder="1"/>
    <xf numFmtId="0" fontId="5" fillId="24" borderId="7" xfId="0" applyFont="1" applyFill="1" applyBorder="1" applyAlignment="1">
      <alignment horizontal="center"/>
    </xf>
    <xf numFmtId="2" fontId="3" fillId="24" borderId="7" xfId="0" applyNumberFormat="1" applyFont="1" applyFill="1" applyBorder="1" applyAlignment="1">
      <alignment horizontal="right" indent="1"/>
    </xf>
    <xf numFmtId="0" fontId="3" fillId="24" borderId="8" xfId="0" applyFont="1" applyFill="1" applyBorder="1"/>
    <xf numFmtId="0" fontId="3" fillId="24" borderId="12" xfId="0" applyFont="1" applyFill="1" applyBorder="1"/>
    <xf numFmtId="0" fontId="5" fillId="24" borderId="9" xfId="0" applyFont="1" applyFill="1" applyBorder="1" applyAlignment="1">
      <alignment horizontal="center"/>
    </xf>
    <xf numFmtId="2" fontId="3" fillId="24" borderId="9" xfId="0" applyNumberFormat="1" applyFont="1" applyFill="1" applyBorder="1" applyAlignment="1">
      <alignment horizontal="right" indent="1"/>
    </xf>
    <xf numFmtId="0" fontId="3" fillId="24" borderId="13" xfId="0" applyFont="1" applyFill="1" applyBorder="1"/>
    <xf numFmtId="0" fontId="11" fillId="0" borderId="6" xfId="0" applyFont="1" applyBorder="1"/>
    <xf numFmtId="0" fontId="11" fillId="0" borderId="7" xfId="0" applyFont="1" applyBorder="1"/>
    <xf numFmtId="2" fontId="11" fillId="0" borderId="7" xfId="0" applyNumberFormat="1" applyFont="1" applyBorder="1" applyAlignment="1">
      <alignment horizontal="right" indent="1"/>
    </xf>
    <xf numFmtId="0" fontId="11" fillId="0" borderId="8" xfId="0" applyFont="1" applyBorder="1"/>
    <xf numFmtId="0" fontId="11" fillId="0" borderId="12" xfId="0" applyFont="1" applyBorder="1"/>
    <xf numFmtId="0" fontId="11" fillId="0" borderId="9" xfId="0" applyFont="1" applyBorder="1"/>
    <xf numFmtId="2" fontId="11" fillId="0" borderId="9" xfId="0" applyNumberFormat="1" applyFont="1" applyBorder="1" applyAlignment="1">
      <alignment horizontal="right" indent="1"/>
    </xf>
    <xf numFmtId="0" fontId="11" fillId="0" borderId="13" xfId="0" applyFont="1" applyBorder="1"/>
    <xf numFmtId="0" fontId="23" fillId="0" borderId="0" xfId="4"/>
    <xf numFmtId="0" fontId="3" fillId="0" borderId="12" xfId="0" applyFont="1" applyBorder="1"/>
    <xf numFmtId="3" fontId="3" fillId="0" borderId="9" xfId="0" applyNumberFormat="1" applyFont="1" applyBorder="1" applyAlignment="1">
      <alignment horizontal="right" indent="1"/>
    </xf>
    <xf numFmtId="0" fontId="3" fillId="0" borderId="13" xfId="0" applyFont="1" applyBorder="1"/>
    <xf numFmtId="0" fontId="5" fillId="8" borderId="5" xfId="0" applyFont="1" applyFill="1" applyBorder="1" applyAlignment="1">
      <alignment horizontal="center"/>
    </xf>
    <xf numFmtId="1" fontId="11" fillId="0" borderId="5" xfId="0" applyNumberFormat="1" applyFont="1" applyBorder="1" applyAlignment="1">
      <alignment horizontal="right" indent="1"/>
    </xf>
    <xf numFmtId="0" fontId="5" fillId="3" borderId="2" xfId="0" applyFont="1" applyFill="1" applyBorder="1" applyAlignment="1">
      <alignment horizontal="center" vertical="center" wrapText="1"/>
    </xf>
    <xf numFmtId="9" fontId="5" fillId="0" borderId="9" xfId="0" applyNumberFormat="1" applyFont="1" applyBorder="1" applyAlignment="1">
      <alignment horizontal="right" indent="1"/>
    </xf>
    <xf numFmtId="10" fontId="3" fillId="0" borderId="7" xfId="1" applyNumberFormat="1" applyFont="1" applyFill="1" applyBorder="1" applyAlignment="1">
      <alignment horizontal="center"/>
    </xf>
    <xf numFmtId="2" fontId="3" fillId="0" borderId="7" xfId="0" applyNumberFormat="1" applyFont="1" applyBorder="1" applyAlignment="1">
      <alignment horizontal="right" indent="1"/>
    </xf>
    <xf numFmtId="0" fontId="15" fillId="0" borderId="5" xfId="0" applyFont="1" applyBorder="1" applyAlignment="1">
      <alignment vertical="center"/>
    </xf>
    <xf numFmtId="166" fontId="20" fillId="3" borderId="5" xfId="0" applyNumberFormat="1" applyFont="1" applyFill="1" applyBorder="1" applyAlignment="1">
      <alignment horizontal="center"/>
    </xf>
    <xf numFmtId="0" fontId="7" fillId="5" borderId="5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9" fillId="3" borderId="5" xfId="0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2" fillId="0" borderId="5" xfId="0" applyFont="1" applyBorder="1"/>
    <xf numFmtId="0" fontId="11" fillId="0" borderId="4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3" fillId="20" borderId="3" xfId="0" applyFont="1" applyFill="1" applyBorder="1" applyAlignment="1">
      <alignment vertical="center"/>
    </xf>
    <xf numFmtId="0" fontId="11" fillId="25" borderId="1" xfId="0" applyFont="1" applyFill="1" applyBorder="1" applyAlignment="1">
      <alignment horizontal="center"/>
    </xf>
    <xf numFmtId="0" fontId="11" fillId="25" borderId="8" xfId="0" applyFont="1" applyFill="1" applyBorder="1" applyAlignment="1">
      <alignment horizontal="center"/>
    </xf>
    <xf numFmtId="2" fontId="11" fillId="25" borderId="2" xfId="0" applyNumberFormat="1" applyFont="1" applyFill="1" applyBorder="1" applyAlignment="1">
      <alignment horizontal="center"/>
    </xf>
    <xf numFmtId="2" fontId="11" fillId="25" borderId="3" xfId="0" applyNumberFormat="1" applyFont="1" applyFill="1" applyBorder="1" applyAlignment="1">
      <alignment horizontal="right" indent="1"/>
    </xf>
    <xf numFmtId="2" fontId="11" fillId="25" borderId="3" xfId="0" applyNumberFormat="1" applyFont="1" applyFill="1" applyBorder="1" applyAlignment="1">
      <alignment horizontal="center"/>
    </xf>
    <xf numFmtId="10" fontId="7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vertical="center"/>
    </xf>
    <xf numFmtId="0" fontId="5" fillId="7" borderId="4" xfId="0" applyFont="1" applyFill="1" applyBorder="1" applyAlignment="1">
      <alignment horizontal="left"/>
    </xf>
    <xf numFmtId="0" fontId="3" fillId="3" borderId="4" xfId="0" applyFont="1" applyFill="1" applyBorder="1"/>
    <xf numFmtId="167" fontId="5" fillId="3" borderId="5" xfId="1" applyNumberFormat="1" applyFont="1" applyFill="1" applyBorder="1" applyAlignment="1">
      <alignment horizontal="right" indent="1"/>
    </xf>
    <xf numFmtId="167" fontId="3" fillId="3" borderId="5" xfId="0" applyNumberFormat="1" applyFont="1" applyFill="1" applyBorder="1" applyAlignment="1">
      <alignment horizontal="right" indent="1"/>
    </xf>
    <xf numFmtId="0" fontId="10" fillId="0" borderId="4" xfId="0" applyFont="1" applyBorder="1" applyAlignment="1">
      <alignment horizontal="center" vertical="center"/>
    </xf>
    <xf numFmtId="2" fontId="34" fillId="0" borderId="4" xfId="0" applyNumberFormat="1" applyFont="1" applyBorder="1" applyAlignment="1">
      <alignment horizontal="left"/>
    </xf>
    <xf numFmtId="0" fontId="20" fillId="0" borderId="0" xfId="0" applyFont="1" applyAlignment="1">
      <alignment horizontal="right"/>
    </xf>
    <xf numFmtId="0" fontId="7" fillId="5" borderId="5" xfId="0" applyFont="1" applyFill="1" applyBorder="1" applyAlignment="1">
      <alignment horizontal="center"/>
    </xf>
    <xf numFmtId="2" fontId="5" fillId="6" borderId="3" xfId="0" applyNumberFormat="1" applyFont="1" applyFill="1" applyBorder="1" applyAlignment="1">
      <alignment horizontal="left" indent="1"/>
    </xf>
    <xf numFmtId="0" fontId="5" fillId="6" borderId="4" xfId="0" applyFont="1" applyFill="1" applyBorder="1"/>
    <xf numFmtId="0" fontId="5" fillId="6" borderId="5" xfId="0" applyFont="1" applyFill="1" applyBorder="1" applyAlignment="1">
      <alignment horizontal="right" indent="1"/>
    </xf>
    <xf numFmtId="0" fontId="15" fillId="14" borderId="5" xfId="0" applyFont="1" applyFill="1" applyBorder="1" applyAlignment="1">
      <alignment horizontal="left" vertical="center"/>
    </xf>
    <xf numFmtId="0" fontId="12" fillId="26" borderId="4" xfId="0" applyFont="1" applyFill="1" applyBorder="1"/>
    <xf numFmtId="0" fontId="11" fillId="26" borderId="5" xfId="0" applyFont="1" applyFill="1" applyBorder="1" applyAlignment="1">
      <alignment horizontal="center"/>
    </xf>
    <xf numFmtId="1" fontId="12" fillId="26" borderId="5" xfId="0" applyNumberFormat="1" applyFont="1" applyFill="1" applyBorder="1" applyAlignment="1">
      <alignment horizontal="right" indent="1"/>
    </xf>
    <xf numFmtId="1" fontId="12" fillId="27" borderId="5" xfId="0" applyNumberFormat="1" applyFont="1" applyFill="1" applyBorder="1" applyAlignment="1">
      <alignment horizontal="center"/>
    </xf>
    <xf numFmtId="2" fontId="12" fillId="27" borderId="5" xfId="0" applyNumberFormat="1" applyFont="1" applyFill="1" applyBorder="1" applyAlignment="1">
      <alignment horizontal="right" indent="1"/>
    </xf>
    <xf numFmtId="1" fontId="12" fillId="0" borderId="5" xfId="0" applyNumberFormat="1" applyFont="1" applyBorder="1" applyAlignment="1">
      <alignment horizontal="center"/>
    </xf>
    <xf numFmtId="0" fontId="5" fillId="6" borderId="5" xfId="0" applyFont="1" applyFill="1" applyBorder="1"/>
    <xf numFmtId="165" fontId="3" fillId="4" borderId="5" xfId="0" applyNumberFormat="1" applyFont="1" applyFill="1" applyBorder="1" applyAlignment="1">
      <alignment horizontal="right" indent="1"/>
    </xf>
    <xf numFmtId="0" fontId="5" fillId="4" borderId="9" xfId="0" applyFont="1" applyFill="1" applyBorder="1" applyAlignment="1">
      <alignment horizontal="center"/>
    </xf>
    <xf numFmtId="0" fontId="3" fillId="20" borderId="4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5" fillId="20" borderId="4" xfId="0" applyFont="1" applyFill="1" applyBorder="1" applyAlignment="1">
      <alignment vertical="center"/>
    </xf>
    <xf numFmtId="10" fontId="3" fillId="20" borderId="5" xfId="0" applyNumberFormat="1" applyFont="1" applyFill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11" fillId="28" borderId="4" xfId="0" applyFont="1" applyFill="1" applyBorder="1"/>
    <xf numFmtId="0" fontId="11" fillId="28" borderId="5" xfId="0" applyFont="1" applyFill="1" applyBorder="1"/>
    <xf numFmtId="10" fontId="7" fillId="7" borderId="5" xfId="1" applyNumberFormat="1" applyFont="1" applyFill="1" applyBorder="1" applyAlignment="1">
      <alignment horizontal="left" vertical="center"/>
    </xf>
    <xf numFmtId="0" fontId="3" fillId="20" borderId="5" xfId="0" applyFont="1" applyFill="1" applyBorder="1"/>
    <xf numFmtId="3" fontId="5" fillId="20" borderId="5" xfId="0" applyNumberFormat="1" applyFont="1" applyFill="1" applyBorder="1" applyAlignment="1">
      <alignment horizontal="right" indent="1"/>
    </xf>
    <xf numFmtId="0" fontId="5" fillId="4" borderId="4" xfId="0" applyFont="1" applyFill="1" applyBorder="1" applyAlignment="1">
      <alignment vertical="center"/>
    </xf>
    <xf numFmtId="0" fontId="12" fillId="29" borderId="4" xfId="0" applyFont="1" applyFill="1" applyBorder="1" applyAlignment="1">
      <alignment vertical="center"/>
    </xf>
    <xf numFmtId="0" fontId="12" fillId="29" borderId="5" xfId="0" applyFont="1" applyFill="1" applyBorder="1" applyAlignment="1">
      <alignment horizontal="center" vertical="center"/>
    </xf>
    <xf numFmtId="1" fontId="11" fillId="29" borderId="9" xfId="0" applyNumberFormat="1" applyFont="1" applyFill="1" applyBorder="1" applyAlignment="1">
      <alignment horizontal="right" vertical="center" indent="1"/>
    </xf>
    <xf numFmtId="2" fontId="11" fillId="0" borderId="5" xfId="0" applyNumberFormat="1" applyFont="1" applyBorder="1" applyAlignment="1">
      <alignment horizontal="right" vertical="center" indent="1"/>
    </xf>
    <xf numFmtId="2" fontId="11" fillId="29" borderId="9" xfId="0" applyNumberFormat="1" applyFont="1" applyFill="1" applyBorder="1" applyAlignment="1">
      <alignment horizontal="right" vertical="center" indent="1"/>
    </xf>
    <xf numFmtId="0" fontId="5" fillId="29" borderId="12" xfId="0" applyFont="1" applyFill="1" applyBorder="1" applyAlignment="1">
      <alignment vertical="center"/>
    </xf>
    <xf numFmtId="0" fontId="5" fillId="29" borderId="9" xfId="0" applyFont="1" applyFill="1" applyBorder="1" applyAlignment="1">
      <alignment horizontal="center" vertical="center"/>
    </xf>
    <xf numFmtId="2" fontId="5" fillId="29" borderId="9" xfId="0" applyNumberFormat="1" applyFont="1" applyFill="1" applyBorder="1" applyAlignment="1">
      <alignment horizontal="right" vertical="center" indent="1"/>
    </xf>
    <xf numFmtId="0" fontId="5" fillId="29" borderId="13" xfId="0" applyFont="1" applyFill="1" applyBorder="1"/>
    <xf numFmtId="0" fontId="5" fillId="0" borderId="3" xfId="0" applyFont="1" applyBorder="1" applyAlignment="1">
      <alignment vertical="center"/>
    </xf>
    <xf numFmtId="0" fontId="5" fillId="29" borderId="4" xfId="0" applyFont="1" applyFill="1" applyBorder="1"/>
    <xf numFmtId="0" fontId="5" fillId="29" borderId="5" xfId="0" applyFont="1" applyFill="1" applyBorder="1" applyAlignment="1">
      <alignment horizontal="center"/>
    </xf>
    <xf numFmtId="168" fontId="5" fillId="29" borderId="9" xfId="0" applyNumberFormat="1" applyFont="1" applyFill="1" applyBorder="1" applyAlignment="1">
      <alignment horizontal="right" vertical="center" indent="1"/>
    </xf>
    <xf numFmtId="0" fontId="5" fillId="29" borderId="3" xfId="0" applyFont="1" applyFill="1" applyBorder="1"/>
    <xf numFmtId="0" fontId="5" fillId="30" borderId="4" xfId="0" applyFont="1" applyFill="1" applyBorder="1"/>
    <xf numFmtId="0" fontId="5" fillId="30" borderId="5" xfId="0" applyFont="1" applyFill="1" applyBorder="1" applyAlignment="1">
      <alignment horizontal="center"/>
    </xf>
    <xf numFmtId="168" fontId="5" fillId="30" borderId="9" xfId="0" applyNumberFormat="1" applyFont="1" applyFill="1" applyBorder="1" applyAlignment="1">
      <alignment horizontal="right" vertical="center" indent="1"/>
    </xf>
    <xf numFmtId="0" fontId="5" fillId="30" borderId="3" xfId="0" applyFont="1" applyFill="1" applyBorder="1"/>
    <xf numFmtId="0" fontId="11" fillId="23" borderId="4" xfId="0" applyFont="1" applyFill="1" applyBorder="1" applyAlignment="1">
      <alignment vertical="center" wrapText="1"/>
    </xf>
    <xf numFmtId="11" fontId="11" fillId="23" borderId="5" xfId="0" applyNumberFormat="1" applyFont="1" applyFill="1" applyBorder="1" applyAlignment="1">
      <alignment horizontal="right" vertical="center" indent="1"/>
    </xf>
    <xf numFmtId="0" fontId="11" fillId="23" borderId="5" xfId="0" applyFont="1" applyFill="1" applyBorder="1" applyAlignment="1">
      <alignment horizontal="left" vertical="center"/>
    </xf>
    <xf numFmtId="0" fontId="15" fillId="14" borderId="5" xfId="0" applyFont="1" applyFill="1" applyBorder="1" applyAlignment="1">
      <alignment horizontal="center"/>
    </xf>
    <xf numFmtId="1" fontId="11" fillId="14" borderId="5" xfId="0" applyNumberFormat="1" applyFont="1" applyFill="1" applyBorder="1" applyAlignment="1">
      <alignment horizontal="right" vertical="center" indent="1"/>
    </xf>
    <xf numFmtId="0" fontId="0" fillId="24" borderId="5" xfId="0" applyFill="1" applyBorder="1"/>
    <xf numFmtId="2" fontId="5" fillId="24" borderId="5" xfId="1" applyNumberFormat="1" applyFont="1" applyFill="1" applyBorder="1" applyAlignment="1">
      <alignment horizontal="right" indent="1"/>
    </xf>
    <xf numFmtId="0" fontId="21" fillId="0" borderId="2" xfId="0" applyFont="1" applyBorder="1" applyAlignment="1">
      <alignment horizontal="center" vertical="center" wrapText="1"/>
    </xf>
    <xf numFmtId="165" fontId="21" fillId="0" borderId="2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/>
    </xf>
    <xf numFmtId="169" fontId="11" fillId="0" borderId="7" xfId="0" applyNumberFormat="1" applyFont="1" applyBorder="1" applyAlignment="1">
      <alignment horizontal="right" indent="1"/>
    </xf>
    <xf numFmtId="0" fontId="11" fillId="0" borderId="7" xfId="0" applyFont="1" applyBorder="1" applyAlignment="1">
      <alignment horizontal="left"/>
    </xf>
    <xf numFmtId="0" fontId="0" fillId="0" borderId="8" xfId="0" applyBorder="1"/>
    <xf numFmtId="0" fontId="4" fillId="0" borderId="11" xfId="0" applyFont="1" applyBorder="1"/>
    <xf numFmtId="169" fontId="11" fillId="0" borderId="0" xfId="0" applyNumberFormat="1" applyFont="1" applyAlignment="1">
      <alignment horizontal="right" indent="1"/>
    </xf>
    <xf numFmtId="0" fontId="11" fillId="0" borderId="0" xfId="0" applyFont="1" applyAlignment="1">
      <alignment horizontal="left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left"/>
    </xf>
    <xf numFmtId="0" fontId="11" fillId="9" borderId="5" xfId="0" applyFont="1" applyFill="1" applyBorder="1"/>
    <xf numFmtId="0" fontId="12" fillId="26" borderId="5" xfId="0" applyFont="1" applyFill="1" applyBorder="1"/>
    <xf numFmtId="0" fontId="12" fillId="29" borderId="5" xfId="0" applyFont="1" applyFill="1" applyBorder="1"/>
    <xf numFmtId="0" fontId="12" fillId="27" borderId="5" xfId="0" applyFont="1" applyFill="1" applyBorder="1"/>
    <xf numFmtId="0" fontId="12" fillId="12" borderId="5" xfId="0" applyFont="1" applyFill="1" applyBorder="1"/>
    <xf numFmtId="0" fontId="12" fillId="16" borderId="5" xfId="0" applyFont="1" applyFill="1" applyBorder="1"/>
    <xf numFmtId="0" fontId="11" fillId="17" borderId="5" xfId="0" applyFont="1" applyFill="1" applyBorder="1"/>
    <xf numFmtId="2" fontId="11" fillId="0" borderId="3" xfId="0" applyNumberFormat="1" applyFont="1" applyBorder="1" applyAlignment="1">
      <alignment horizontal="right" indent="1"/>
    </xf>
    <xf numFmtId="0" fontId="11" fillId="0" borderId="1" xfId="0" applyFont="1" applyBorder="1" applyAlignment="1">
      <alignment horizontal="left"/>
    </xf>
    <xf numFmtId="0" fontId="3" fillId="8" borderId="7" xfId="0" applyFont="1" applyFill="1" applyBorder="1" applyAlignment="1">
      <alignment vertical="center"/>
    </xf>
    <xf numFmtId="0" fontId="3" fillId="3" borderId="5" xfId="0" applyFont="1" applyFill="1" applyBorder="1"/>
    <xf numFmtId="0" fontId="3" fillId="0" borderId="5" xfId="0" applyFont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vertical="center"/>
    </xf>
    <xf numFmtId="0" fontId="3" fillId="4" borderId="5" xfId="0" applyFont="1" applyFill="1" applyBorder="1"/>
    <xf numFmtId="0" fontId="3" fillId="6" borderId="5" xfId="0" applyFont="1" applyFill="1" applyBorder="1" applyAlignment="1">
      <alignment horizontal="left"/>
    </xf>
    <xf numFmtId="0" fontId="5" fillId="7" borderId="5" xfId="0" applyFont="1" applyFill="1" applyBorder="1" applyAlignment="1">
      <alignment vertical="center"/>
    </xf>
    <xf numFmtId="0" fontId="5" fillId="0" borderId="5" xfId="0" applyFont="1" applyBorder="1" applyAlignment="1">
      <alignment horizontal="left"/>
    </xf>
    <xf numFmtId="0" fontId="3" fillId="6" borderId="9" xfId="0" applyFont="1" applyFill="1" applyBorder="1"/>
    <xf numFmtId="2" fontId="5" fillId="4" borderId="5" xfId="0" applyNumberFormat="1" applyFont="1" applyFill="1" applyBorder="1"/>
    <xf numFmtId="0" fontId="3" fillId="0" borderId="7" xfId="0" applyFont="1" applyBorder="1"/>
    <xf numFmtId="2" fontId="5" fillId="5" borderId="5" xfId="0" applyNumberFormat="1" applyFont="1" applyFill="1" applyBorder="1"/>
    <xf numFmtId="0" fontId="12" fillId="0" borderId="7" xfId="0" applyFont="1" applyBorder="1"/>
    <xf numFmtId="0" fontId="5" fillId="7" borderId="5" xfId="0" applyFont="1" applyFill="1" applyBorder="1"/>
    <xf numFmtId="0" fontId="12" fillId="14" borderId="5" xfId="0" applyFont="1" applyFill="1" applyBorder="1"/>
    <xf numFmtId="2" fontId="12" fillId="23" borderId="5" xfId="0" applyNumberFormat="1" applyFont="1" applyFill="1" applyBorder="1" applyAlignment="1">
      <alignment horizontal="left" vertical="center"/>
    </xf>
    <xf numFmtId="0" fontId="12" fillId="14" borderId="5" xfId="0" applyFont="1" applyFill="1" applyBorder="1" applyAlignment="1">
      <alignment vertical="center"/>
    </xf>
    <xf numFmtId="0" fontId="4" fillId="0" borderId="4" xfId="0" applyFont="1" applyBorder="1" applyAlignment="1">
      <alignment horizontal="left"/>
    </xf>
    <xf numFmtId="0" fontId="6" fillId="0" borderId="1" xfId="0" applyFont="1" applyBorder="1"/>
    <xf numFmtId="0" fontId="6" fillId="0" borderId="15" xfId="0" applyFont="1" applyBorder="1"/>
    <xf numFmtId="2" fontId="5" fillId="7" borderId="5" xfId="0" applyNumberFormat="1" applyFont="1" applyFill="1" applyBorder="1" applyAlignment="1">
      <alignment horizontal="right" vertical="center" indent="1"/>
    </xf>
    <xf numFmtId="167" fontId="5" fillId="0" borderId="2" xfId="1" applyNumberFormat="1" applyFont="1" applyFill="1" applyBorder="1" applyAlignment="1">
      <alignment horizontal="right" indent="1"/>
    </xf>
    <xf numFmtId="0" fontId="5" fillId="20" borderId="8" xfId="0" applyFont="1" applyFill="1" applyBorder="1"/>
    <xf numFmtId="0" fontId="3" fillId="20" borderId="13" xfId="0" applyFont="1" applyFill="1" applyBorder="1"/>
    <xf numFmtId="2" fontId="11" fillId="0" borderId="2" xfId="0" applyNumberFormat="1" applyFont="1" applyBorder="1" applyAlignment="1">
      <alignment horizontal="right" vertical="center" indent="1"/>
    </xf>
    <xf numFmtId="2" fontId="5" fillId="0" borderId="2" xfId="0" applyNumberFormat="1" applyFont="1" applyBorder="1" applyAlignment="1">
      <alignment horizontal="right" indent="1"/>
    </xf>
    <xf numFmtId="167" fontId="3" fillId="0" borderId="2" xfId="0" applyNumberFormat="1" applyFont="1" applyBorder="1" applyAlignment="1">
      <alignment horizontal="right" indent="1"/>
    </xf>
    <xf numFmtId="9" fontId="5" fillId="0" borderId="4" xfId="0" applyNumberFormat="1" applyFont="1" applyBorder="1" applyAlignment="1">
      <alignment horizontal="right" indent="1"/>
    </xf>
    <xf numFmtId="2" fontId="3" fillId="0" borderId="2" xfId="0" applyNumberFormat="1" applyFont="1" applyBorder="1" applyAlignment="1">
      <alignment horizontal="right" indent="1"/>
    </xf>
    <xf numFmtId="0" fontId="5" fillId="0" borderId="2" xfId="0" applyFont="1" applyBorder="1" applyAlignment="1">
      <alignment horizontal="right" indent="1"/>
    </xf>
    <xf numFmtId="2" fontId="5" fillId="0" borderId="2" xfId="1" applyNumberFormat="1" applyFont="1" applyFill="1" applyBorder="1" applyAlignment="1">
      <alignment horizontal="right" indent="1"/>
    </xf>
    <xf numFmtId="2" fontId="5" fillId="0" borderId="2" xfId="0" applyNumberFormat="1" applyFont="1" applyBorder="1" applyAlignment="1">
      <alignment horizontal="right" vertical="center" indent="1"/>
    </xf>
    <xf numFmtId="1" fontId="3" fillId="0" borderId="2" xfId="0" applyNumberFormat="1" applyFont="1" applyBorder="1" applyAlignment="1">
      <alignment horizontal="right" indent="1"/>
    </xf>
    <xf numFmtId="1" fontId="5" fillId="0" borderId="2" xfId="0" applyNumberFormat="1" applyFont="1" applyBorder="1" applyAlignment="1">
      <alignment horizontal="right" indent="1"/>
    </xf>
    <xf numFmtId="165" fontId="3" fillId="0" borderId="2" xfId="0" applyNumberFormat="1" applyFont="1" applyBorder="1" applyAlignment="1">
      <alignment horizontal="right" indent="1"/>
    </xf>
    <xf numFmtId="165" fontId="5" fillId="0" borderId="2" xfId="0" applyNumberFormat="1" applyFont="1" applyBorder="1" applyAlignment="1">
      <alignment horizontal="right" indent="1"/>
    </xf>
    <xf numFmtId="1" fontId="3" fillId="0" borderId="14" xfId="0" applyNumberFormat="1" applyFont="1" applyBorder="1" applyAlignment="1">
      <alignment horizontal="right" indent="1"/>
    </xf>
    <xf numFmtId="166" fontId="3" fillId="0" borderId="2" xfId="0" applyNumberFormat="1" applyFont="1" applyBorder="1" applyAlignment="1">
      <alignment horizontal="right" indent="1"/>
    </xf>
    <xf numFmtId="166" fontId="11" fillId="0" borderId="2" xfId="0" applyNumberFormat="1" applyFont="1" applyBorder="1" applyAlignment="1">
      <alignment horizontal="right" vertical="center" indent="1"/>
    </xf>
    <xf numFmtId="2" fontId="3" fillId="0" borderId="1" xfId="0" applyNumberFormat="1" applyFont="1" applyBorder="1" applyAlignment="1">
      <alignment horizontal="right" indent="1"/>
    </xf>
    <xf numFmtId="2" fontId="11" fillId="0" borderId="14" xfId="0" applyNumberFormat="1" applyFont="1" applyBorder="1" applyAlignment="1">
      <alignment horizontal="right" vertical="center" indent="1"/>
    </xf>
    <xf numFmtId="2" fontId="11" fillId="0" borderId="15" xfId="0" applyNumberFormat="1" applyFont="1" applyBorder="1" applyAlignment="1">
      <alignment horizontal="right" vertical="center" indent="1"/>
    </xf>
    <xf numFmtId="3" fontId="3" fillId="0" borderId="2" xfId="0" applyNumberFormat="1" applyFont="1" applyBorder="1" applyAlignment="1">
      <alignment horizontal="right" indent="1"/>
    </xf>
    <xf numFmtId="3" fontId="5" fillId="0" borderId="2" xfId="0" applyNumberFormat="1" applyFont="1" applyBorder="1" applyAlignment="1">
      <alignment horizontal="right" indent="1"/>
    </xf>
    <xf numFmtId="11" fontId="11" fillId="0" borderId="2" xfId="0" applyNumberFormat="1" applyFont="1" applyBorder="1" applyAlignment="1">
      <alignment horizontal="right" vertical="center" indent="1"/>
    </xf>
    <xf numFmtId="1" fontId="11" fillId="0" borderId="2" xfId="0" applyNumberFormat="1" applyFont="1" applyBorder="1" applyAlignment="1">
      <alignment horizontal="right" vertical="center" indent="1"/>
    </xf>
    <xf numFmtId="4" fontId="3" fillId="0" borderId="2" xfId="0" applyNumberFormat="1" applyFont="1" applyBorder="1" applyAlignment="1">
      <alignment horizontal="right" indent="1"/>
    </xf>
    <xf numFmtId="9" fontId="5" fillId="0" borderId="14" xfId="1" applyFont="1" applyFill="1" applyBorder="1" applyAlignment="1">
      <alignment horizontal="right" vertical="center" indent="1"/>
    </xf>
    <xf numFmtId="2" fontId="3" fillId="0" borderId="2" xfId="0" applyNumberFormat="1" applyFont="1" applyBorder="1" applyAlignment="1">
      <alignment horizontal="right" vertical="center" indent="1"/>
    </xf>
    <xf numFmtId="4" fontId="5" fillId="0" borderId="2" xfId="0" applyNumberFormat="1" applyFont="1" applyBorder="1" applyAlignment="1">
      <alignment horizontal="right" vertical="center" indent="1"/>
    </xf>
    <xf numFmtId="171" fontId="5" fillId="0" borderId="2" xfId="0" applyNumberFormat="1" applyFont="1" applyBorder="1" applyAlignment="1">
      <alignment horizontal="right" vertical="center" indent="1"/>
    </xf>
    <xf numFmtId="10" fontId="5" fillId="0" borderId="7" xfId="0" applyNumberFormat="1" applyFont="1" applyBorder="1" applyAlignment="1">
      <alignment horizontal="right" indent="1"/>
    </xf>
    <xf numFmtId="2" fontId="11" fillId="28" borderId="5" xfId="0" applyNumberFormat="1" applyFont="1" applyFill="1" applyBorder="1" applyAlignment="1">
      <alignment horizontal="right" vertical="center" indent="1"/>
    </xf>
    <xf numFmtId="2" fontId="5" fillId="6" borderId="5" xfId="0" applyNumberFormat="1" applyFont="1" applyFill="1" applyBorder="1" applyAlignment="1">
      <alignment horizontal="right" vertical="center" indent="1"/>
    </xf>
    <xf numFmtId="9" fontId="5" fillId="6" borderId="9" xfId="1" applyFont="1" applyFill="1" applyBorder="1" applyAlignment="1">
      <alignment horizontal="right" vertical="center" indent="1"/>
    </xf>
    <xf numFmtId="2" fontId="3" fillId="0" borderId="5" xfId="0" applyNumberFormat="1" applyFont="1" applyBorder="1" applyAlignment="1">
      <alignment horizontal="right" vertical="center" indent="1"/>
    </xf>
    <xf numFmtId="2" fontId="5" fillId="5" borderId="5" xfId="0" applyNumberFormat="1" applyFont="1" applyFill="1" applyBorder="1" applyAlignment="1">
      <alignment horizontal="right" vertical="center" indent="1"/>
    </xf>
    <xf numFmtId="2" fontId="5" fillId="20" borderId="5" xfId="0" applyNumberFormat="1" applyFont="1" applyFill="1" applyBorder="1" applyAlignment="1">
      <alignment horizontal="right" vertical="center" indent="1"/>
    </xf>
    <xf numFmtId="4" fontId="5" fillId="3" borderId="5" xfId="0" applyNumberFormat="1" applyFont="1" applyFill="1" applyBorder="1" applyAlignment="1">
      <alignment horizontal="right" vertical="center" indent="1"/>
    </xf>
    <xf numFmtId="4" fontId="5" fillId="4" borderId="5" xfId="0" applyNumberFormat="1" applyFont="1" applyFill="1" applyBorder="1" applyAlignment="1">
      <alignment horizontal="right" vertical="center" indent="1"/>
    </xf>
    <xf numFmtId="4" fontId="5" fillId="20" borderId="5" xfId="0" applyNumberFormat="1" applyFont="1" applyFill="1" applyBorder="1" applyAlignment="1">
      <alignment horizontal="right" vertical="center" indent="1"/>
    </xf>
    <xf numFmtId="9" fontId="5" fillId="4" borderId="9" xfId="1" applyFont="1" applyFill="1" applyBorder="1" applyAlignment="1">
      <alignment horizontal="right" vertical="center" indent="1"/>
    </xf>
    <xf numFmtId="171" fontId="5" fillId="0" borderId="5" xfId="0" applyNumberFormat="1" applyFont="1" applyBorder="1" applyAlignment="1">
      <alignment horizontal="right" vertical="center" indent="1"/>
    </xf>
    <xf numFmtId="10" fontId="5" fillId="20" borderId="7" xfId="0" applyNumberFormat="1" applyFont="1" applyFill="1" applyBorder="1" applyAlignment="1">
      <alignment horizontal="right" indent="1"/>
    </xf>
    <xf numFmtId="2" fontId="5" fillId="20" borderId="9" xfId="0" applyNumberFormat="1" applyFont="1" applyFill="1" applyBorder="1" applyAlignment="1">
      <alignment horizontal="right" vertical="center" indent="1"/>
    </xf>
    <xf numFmtId="1" fontId="5" fillId="8" borderId="9" xfId="0" applyNumberFormat="1" applyFont="1" applyFill="1" applyBorder="1" applyAlignment="1">
      <alignment horizontal="right" indent="1"/>
    </xf>
    <xf numFmtId="2" fontId="5" fillId="8" borderId="5" xfId="0" applyNumberFormat="1" applyFont="1" applyFill="1" applyBorder="1" applyAlignment="1">
      <alignment horizontal="right" indent="1"/>
    </xf>
    <xf numFmtId="173" fontId="5" fillId="3" borderId="5" xfId="0" applyNumberFormat="1" applyFont="1" applyFill="1" applyBorder="1" applyAlignment="1">
      <alignment horizontal="left" indent="1"/>
    </xf>
    <xf numFmtId="172" fontId="5" fillId="3" borderId="5" xfId="0" applyNumberFormat="1" applyFont="1" applyFill="1" applyBorder="1" applyAlignment="1" applyProtection="1">
      <alignment horizontal="left" indent="1"/>
      <protection locked="0"/>
    </xf>
    <xf numFmtId="0" fontId="11" fillId="0" borderId="6" xfId="0" applyFont="1" applyBorder="1" applyAlignment="1">
      <alignment horizontal="left"/>
    </xf>
    <xf numFmtId="0" fontId="0" fillId="0" borderId="1" xfId="0" applyBorder="1"/>
    <xf numFmtId="1" fontId="3" fillId="0" borderId="5" xfId="0" applyNumberFormat="1" applyFont="1" applyBorder="1" applyAlignment="1">
      <alignment horizontal="right" indent="1"/>
    </xf>
    <xf numFmtId="2" fontId="3" fillId="0" borderId="5" xfId="1" applyNumberFormat="1" applyFont="1" applyFill="1" applyBorder="1" applyAlignment="1">
      <alignment horizontal="right" indent="1"/>
    </xf>
    <xf numFmtId="2" fontId="3" fillId="0" borderId="9" xfId="0" applyNumberFormat="1" applyFont="1" applyBorder="1" applyAlignment="1">
      <alignment horizontal="right" indent="1"/>
    </xf>
    <xf numFmtId="3" fontId="11" fillId="0" borderId="5" xfId="0" applyNumberFormat="1" applyFont="1" applyBorder="1" applyAlignment="1">
      <alignment horizontal="right" indent="1"/>
    </xf>
    <xf numFmtId="4" fontId="11" fillId="0" borderId="2" xfId="0" applyNumberFormat="1" applyFont="1" applyBorder="1" applyAlignment="1">
      <alignment horizontal="right" indent="1"/>
    </xf>
    <xf numFmtId="2" fontId="12" fillId="0" borderId="2" xfId="0" applyNumberFormat="1" applyFont="1" applyBorder="1" applyAlignment="1">
      <alignment horizontal="right" indent="1"/>
    </xf>
    <xf numFmtId="1" fontId="12" fillId="0" borderId="2" xfId="0" applyNumberFormat="1" applyFont="1" applyBorder="1" applyAlignment="1">
      <alignment horizontal="right" indent="1"/>
    </xf>
    <xf numFmtId="1" fontId="11" fillId="0" borderId="14" xfId="0" applyNumberFormat="1" applyFont="1" applyBorder="1" applyAlignment="1">
      <alignment horizontal="right" vertical="center" indent="1"/>
    </xf>
    <xf numFmtId="169" fontId="11" fillId="0" borderId="4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1"/>
    </xf>
    <xf numFmtId="2" fontId="5" fillId="0" borderId="14" xfId="0" applyNumberFormat="1" applyFont="1" applyBorder="1" applyAlignment="1">
      <alignment horizontal="right" vertical="center" indent="1"/>
    </xf>
    <xf numFmtId="168" fontId="5" fillId="0" borderId="14" xfId="0" applyNumberFormat="1" applyFont="1" applyBorder="1" applyAlignment="1">
      <alignment horizontal="right" vertical="center" indent="1"/>
    </xf>
    <xf numFmtId="2" fontId="5" fillId="0" borderId="14" xfId="0" applyNumberFormat="1" applyFont="1" applyBorder="1" applyAlignment="1">
      <alignment horizontal="right" indent="1"/>
    </xf>
    <xf numFmtId="9" fontId="5" fillId="0" borderId="14" xfId="0" applyNumberFormat="1" applyFont="1" applyBorder="1" applyAlignment="1">
      <alignment horizontal="right" indent="1"/>
    </xf>
    <xf numFmtId="166" fontId="5" fillId="0" borderId="2" xfId="0" applyNumberFormat="1" applyFont="1" applyBorder="1" applyAlignment="1">
      <alignment horizontal="right" indent="1"/>
    </xf>
    <xf numFmtId="168" fontId="5" fillId="0" borderId="2" xfId="0" applyNumberFormat="1" applyFont="1" applyBorder="1" applyAlignment="1">
      <alignment horizontal="right" vertical="center" indent="1"/>
    </xf>
    <xf numFmtId="0" fontId="5" fillId="0" borderId="5" xfId="0" applyFont="1" applyBorder="1" applyAlignment="1">
      <alignment horizontal="right" indent="1"/>
    </xf>
    <xf numFmtId="0" fontId="11" fillId="0" borderId="7" xfId="0" applyFont="1" applyBorder="1" applyAlignment="1">
      <alignment horizontal="center"/>
    </xf>
    <xf numFmtId="9" fontId="3" fillId="0" borderId="5" xfId="0" applyNumberFormat="1" applyFont="1" applyBorder="1" applyAlignment="1">
      <alignment horizontal="right" indent="1"/>
    </xf>
    <xf numFmtId="173" fontId="5" fillId="0" borderId="5" xfId="0" applyNumberFormat="1" applyFont="1" applyBorder="1"/>
    <xf numFmtId="172" fontId="5" fillId="0" borderId="5" xfId="0" applyNumberFormat="1" applyFont="1" applyBorder="1" applyProtection="1">
      <protection locked="0"/>
    </xf>
    <xf numFmtId="0" fontId="10" fillId="0" borderId="2" xfId="0" applyFont="1" applyBorder="1" applyAlignment="1">
      <alignment horizontal="center" vertical="center"/>
    </xf>
    <xf numFmtId="0" fontId="0" fillId="0" borderId="4" xfId="0" applyBorder="1"/>
    <xf numFmtId="166" fontId="34" fillId="0" borderId="4" xfId="0" applyNumberFormat="1" applyFont="1" applyBorder="1" applyAlignment="1">
      <alignment horizontal="center"/>
    </xf>
    <xf numFmtId="166" fontId="36" fillId="3" borderId="4" xfId="0" applyNumberFormat="1" applyFont="1" applyFill="1" applyBorder="1" applyAlignment="1">
      <alignment horizontal="center"/>
    </xf>
    <xf numFmtId="166" fontId="20" fillId="3" borderId="5" xfId="0" applyNumberFormat="1" applyFont="1" applyFill="1" applyBorder="1" applyAlignment="1">
      <alignment horizontal="left"/>
    </xf>
    <xf numFmtId="2" fontId="36" fillId="3" borderId="5" xfId="0" applyNumberFormat="1" applyFont="1" applyFill="1" applyBorder="1" applyAlignment="1">
      <alignment horizontal="right" indent="1"/>
    </xf>
    <xf numFmtId="166" fontId="36" fillId="3" borderId="5" xfId="0" applyNumberFormat="1" applyFont="1" applyFill="1" applyBorder="1"/>
    <xf numFmtId="0" fontId="6" fillId="0" borderId="0" xfId="0" applyFont="1" applyAlignment="1">
      <alignment horizontal="right"/>
    </xf>
    <xf numFmtId="2" fontId="20" fillId="0" borderId="5" xfId="0" applyNumberFormat="1" applyFont="1" applyBorder="1" applyAlignment="1">
      <alignment horizontal="right" indent="1"/>
    </xf>
    <xf numFmtId="0" fontId="20" fillId="0" borderId="5" xfId="0" applyFont="1" applyBorder="1"/>
    <xf numFmtId="171" fontId="11" fillId="0" borderId="5" xfId="0" applyNumberFormat="1" applyFont="1" applyBorder="1"/>
    <xf numFmtId="171" fontId="11" fillId="0" borderId="5" xfId="0" applyNumberFormat="1" applyFont="1" applyBorder="1" applyAlignment="1">
      <alignment horizontal="right" indent="1"/>
    </xf>
    <xf numFmtId="0" fontId="11" fillId="0" borderId="5" xfId="0" applyFont="1" applyBorder="1" applyAlignment="1">
      <alignment horizontal="left"/>
    </xf>
    <xf numFmtId="2" fontId="5" fillId="0" borderId="5" xfId="0" applyNumberFormat="1" applyFont="1" applyBorder="1"/>
    <xf numFmtId="0" fontId="0" fillId="0" borderId="2" xfId="0" applyBorder="1" applyAlignment="1">
      <alignment horizontal="center" vertical="center" wrapText="1"/>
    </xf>
    <xf numFmtId="2" fontId="0" fillId="0" borderId="4" xfId="0" applyNumberFormat="1" applyBorder="1" applyAlignment="1">
      <alignment horizontal="center" wrapText="1"/>
    </xf>
    <xf numFmtId="0" fontId="6" fillId="0" borderId="5" xfId="0" applyFont="1" applyBorder="1" applyAlignment="1">
      <alignment horizontal="right"/>
    </xf>
    <xf numFmtId="2" fontId="20" fillId="0" borderId="5" xfId="0" applyNumberFormat="1" applyFont="1" applyBorder="1" applyAlignment="1">
      <alignment horizontal="right"/>
    </xf>
    <xf numFmtId="2" fontId="20" fillId="0" borderId="2" xfId="0" applyNumberFormat="1" applyFont="1" applyBorder="1" applyAlignment="1">
      <alignment horizontal="right"/>
    </xf>
    <xf numFmtId="1" fontId="11" fillId="0" borderId="2" xfId="0" applyNumberFormat="1" applyFont="1" applyBorder="1" applyAlignment="1">
      <alignment horizontal="right" indent="1"/>
    </xf>
    <xf numFmtId="2" fontId="4" fillId="0" borderId="5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right" indent="1"/>
    </xf>
    <xf numFmtId="171" fontId="11" fillId="0" borderId="2" xfId="0" applyNumberFormat="1" applyFont="1" applyBorder="1" applyAlignment="1">
      <alignment horizontal="right" indent="1"/>
    </xf>
    <xf numFmtId="2" fontId="0" fillId="0" borderId="2" xfId="0" applyNumberFormat="1" applyBorder="1" applyAlignment="1">
      <alignment horizontal="center" wrapText="1"/>
    </xf>
    <xf numFmtId="0" fontId="0" fillId="0" borderId="1" xfId="0" applyBorder="1" applyAlignment="1">
      <alignment horizontal="right"/>
    </xf>
    <xf numFmtId="2" fontId="20" fillId="3" borderId="5" xfId="0" applyNumberFormat="1" applyFont="1" applyFill="1" applyBorder="1" applyAlignment="1">
      <alignment horizontal="right" vertical="center" indent="1"/>
    </xf>
    <xf numFmtId="0" fontId="11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2" fontId="20" fillId="0" borderId="5" xfId="0" applyNumberFormat="1" applyFont="1" applyBorder="1" applyAlignment="1">
      <alignment horizontal="right" vertical="center" indent="1"/>
    </xf>
    <xf numFmtId="0" fontId="12" fillId="0" borderId="5" xfId="0" applyFont="1" applyBorder="1" applyAlignment="1">
      <alignment horizontal="right" indent="1"/>
    </xf>
    <xf numFmtId="0" fontId="21" fillId="0" borderId="4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wrapText="1"/>
    </xf>
    <xf numFmtId="2" fontId="0" fillId="0" borderId="4" xfId="0" applyNumberForma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0" fontId="20" fillId="0" borderId="7" xfId="0" applyFont="1" applyBorder="1"/>
    <xf numFmtId="0" fontId="0" fillId="0" borderId="15" xfId="0" applyBorder="1" applyAlignment="1">
      <alignment horizontal="center"/>
    </xf>
    <xf numFmtId="2" fontId="9" fillId="0" borderId="11" xfId="0" applyNumberFormat="1" applyFont="1" applyBorder="1" applyAlignment="1">
      <alignment horizontal="center" wrapText="1"/>
    </xf>
    <xf numFmtId="2" fontId="9" fillId="0" borderId="2" xfId="0" applyNumberFormat="1" applyFont="1" applyBorder="1" applyAlignment="1">
      <alignment horizontal="center" wrapText="1"/>
    </xf>
    <xf numFmtId="0" fontId="20" fillId="3" borderId="5" xfId="0" applyFont="1" applyFill="1" applyBorder="1" applyAlignment="1">
      <alignment vertical="center"/>
    </xf>
    <xf numFmtId="0" fontId="20" fillId="0" borderId="5" xfId="0" applyFont="1" applyBorder="1" applyAlignment="1">
      <alignment vertical="center"/>
    </xf>
    <xf numFmtId="2" fontId="20" fillId="0" borderId="2" xfId="0" applyNumberFormat="1" applyFont="1" applyBorder="1" applyAlignment="1">
      <alignment horizontal="right" vertical="center" indent="1"/>
    </xf>
    <xf numFmtId="0" fontId="12" fillId="0" borderId="2" xfId="0" applyFont="1" applyBorder="1" applyAlignment="1">
      <alignment horizontal="right" indent="1"/>
    </xf>
    <xf numFmtId="2" fontId="9" fillId="0" borderId="15" xfId="0" applyNumberFormat="1" applyFont="1" applyBorder="1" applyAlignment="1">
      <alignment horizontal="center" wrapText="1"/>
    </xf>
    <xf numFmtId="2" fontId="11" fillId="0" borderId="1" xfId="0" applyNumberFormat="1" applyFont="1" applyBorder="1" applyAlignment="1">
      <alignment horizontal="right" vertical="center" indent="1"/>
    </xf>
    <xf numFmtId="0" fontId="11" fillId="6" borderId="4" xfId="0" applyFont="1" applyFill="1" applyBorder="1"/>
    <xf numFmtId="0" fontId="11" fillId="6" borderId="5" xfId="0" applyFont="1" applyFill="1" applyBorder="1" applyAlignment="1">
      <alignment horizontal="center"/>
    </xf>
    <xf numFmtId="0" fontId="0" fillId="6" borderId="5" xfId="0" applyFill="1" applyBorder="1"/>
    <xf numFmtId="2" fontId="11" fillId="6" borderId="5" xfId="0" applyNumberFormat="1" applyFont="1" applyFill="1" applyBorder="1" applyAlignment="1">
      <alignment horizontal="right" indent="1"/>
    </xf>
    <xf numFmtId="0" fontId="11" fillId="6" borderId="5" xfId="0" applyFont="1" applyFill="1" applyBorder="1"/>
    <xf numFmtId="0" fontId="11" fillId="6" borderId="4" xfId="0" applyFont="1" applyFill="1" applyBorder="1" applyAlignment="1">
      <alignment horizontal="left"/>
    </xf>
    <xf numFmtId="0" fontId="11" fillId="6" borderId="5" xfId="0" applyFont="1" applyFill="1" applyBorder="1" applyAlignment="1">
      <alignment horizontal="left"/>
    </xf>
    <xf numFmtId="0" fontId="11" fillId="6" borderId="4" xfId="0" applyFont="1" applyFill="1" applyBorder="1" applyAlignment="1">
      <alignment vertical="center" wrapText="1"/>
    </xf>
    <xf numFmtId="2" fontId="20" fillId="6" borderId="5" xfId="0" applyNumberFormat="1" applyFont="1" applyFill="1" applyBorder="1" applyAlignment="1">
      <alignment horizontal="center"/>
    </xf>
    <xf numFmtId="1" fontId="11" fillId="6" borderId="5" xfId="0" applyNumberFormat="1" applyFont="1" applyFill="1" applyBorder="1" applyAlignment="1">
      <alignment horizontal="right" indent="1"/>
    </xf>
    <xf numFmtId="2" fontId="20" fillId="6" borderId="5" xfId="0" applyNumberFormat="1" applyFont="1" applyFill="1" applyBorder="1" applyAlignment="1">
      <alignment horizontal="left"/>
    </xf>
    <xf numFmtId="1" fontId="11" fillId="6" borderId="5" xfId="0" applyNumberFormat="1" applyFont="1" applyFill="1" applyBorder="1" applyAlignment="1">
      <alignment horizontal="left"/>
    </xf>
    <xf numFmtId="0" fontId="11" fillId="6" borderId="4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horizontal="center" vertical="center"/>
    </xf>
    <xf numFmtId="2" fontId="11" fillId="6" borderId="9" xfId="0" applyNumberFormat="1" applyFont="1" applyFill="1" applyBorder="1" applyAlignment="1">
      <alignment horizontal="right" vertical="center" indent="1"/>
    </xf>
    <xf numFmtId="0" fontId="12" fillId="6" borderId="5" xfId="0" applyFont="1" applyFill="1" applyBorder="1"/>
    <xf numFmtId="0" fontId="11" fillId="9" borderId="2" xfId="0" applyFont="1" applyFill="1" applyBorder="1"/>
    <xf numFmtId="0" fontId="11" fillId="10" borderId="2" xfId="0" applyFont="1" applyFill="1" applyBorder="1"/>
    <xf numFmtId="0" fontId="12" fillId="13" borderId="2" xfId="0" applyFont="1" applyFill="1" applyBorder="1"/>
    <xf numFmtId="0" fontId="20" fillId="0" borderId="15" xfId="0" applyFont="1" applyBorder="1"/>
    <xf numFmtId="0" fontId="5" fillId="3" borderId="2" xfId="0" applyFont="1" applyFill="1" applyBorder="1"/>
    <xf numFmtId="0" fontId="11" fillId="14" borderId="2" xfId="0" applyFont="1" applyFill="1" applyBorder="1"/>
    <xf numFmtId="0" fontId="11" fillId="15" borderId="2" xfId="0" applyFont="1" applyFill="1" applyBorder="1"/>
    <xf numFmtId="0" fontId="12" fillId="0" borderId="2" xfId="0" applyFont="1" applyBorder="1"/>
    <xf numFmtId="0" fontId="4" fillId="0" borderId="12" xfId="0" applyFont="1" applyBorder="1" applyAlignment="1">
      <alignment horizontal="left"/>
    </xf>
    <xf numFmtId="0" fontId="33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horizontal="left"/>
    </xf>
    <xf numFmtId="0" fontId="5" fillId="0" borderId="6" xfId="0" applyFont="1" applyBorder="1"/>
    <xf numFmtId="1" fontId="11" fillId="14" borderId="4" xfId="0" applyNumberFormat="1" applyFont="1" applyFill="1" applyBorder="1"/>
    <xf numFmtId="0" fontId="3" fillId="4" borderId="0" xfId="0" applyFont="1" applyFill="1" applyAlignment="1">
      <alignment horizontal="center"/>
    </xf>
    <xf numFmtId="0" fontId="20" fillId="0" borderId="1" xfId="0" applyFont="1" applyBorder="1"/>
    <xf numFmtId="0" fontId="21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12" fillId="0" borderId="5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11" fillId="0" borderId="5" xfId="0" applyFont="1" applyBorder="1" applyAlignment="1">
      <alignment horizontal="right" vertical="center"/>
    </xf>
    <xf numFmtId="0" fontId="11" fillId="0" borderId="5" xfId="0" applyFont="1" applyBorder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15" fillId="0" borderId="5" xfId="0" applyFont="1" applyBorder="1" applyAlignment="1">
      <alignment horizontal="right"/>
    </xf>
    <xf numFmtId="0" fontId="3" fillId="0" borderId="2" xfId="0" applyFont="1" applyBorder="1"/>
    <xf numFmtId="0" fontId="7" fillId="0" borderId="3" xfId="0" applyFont="1" applyBorder="1" applyAlignment="1">
      <alignment horizontal="right"/>
    </xf>
    <xf numFmtId="0" fontId="11" fillId="0" borderId="3" xfId="0" applyFont="1" applyBorder="1" applyAlignment="1">
      <alignment horizontal="right" vertical="center"/>
    </xf>
    <xf numFmtId="0" fontId="8" fillId="0" borderId="1" xfId="0" applyFont="1" applyBorder="1"/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10" fontId="5" fillId="0" borderId="4" xfId="0" applyNumberFormat="1" applyFont="1" applyBorder="1" applyAlignment="1">
      <alignment horizontal="left"/>
    </xf>
    <xf numFmtId="0" fontId="37" fillId="0" borderId="5" xfId="0" applyFont="1" applyBorder="1"/>
    <xf numFmtId="166" fontId="20" fillId="3" borderId="4" xfId="0" applyNumberFormat="1" applyFont="1" applyFill="1" applyBorder="1" applyAlignment="1">
      <alignment horizontal="left"/>
    </xf>
    <xf numFmtId="2" fontId="20" fillId="3" borderId="5" xfId="0" applyNumberFormat="1" applyFont="1" applyFill="1" applyBorder="1" applyAlignment="1">
      <alignment horizontal="right" indent="1"/>
    </xf>
    <xf numFmtId="166" fontId="20" fillId="3" borderId="5" xfId="0" applyNumberFormat="1" applyFont="1" applyFill="1" applyBorder="1"/>
    <xf numFmtId="166" fontId="36" fillId="3" borderId="4" xfId="0" applyNumberFormat="1" applyFont="1" applyFill="1" applyBorder="1" applyAlignment="1">
      <alignment horizontal="left"/>
    </xf>
    <xf numFmtId="2" fontId="34" fillId="20" borderId="4" xfId="0" applyNumberFormat="1" applyFont="1" applyFill="1" applyBorder="1" applyAlignment="1">
      <alignment horizontal="left"/>
    </xf>
    <xf numFmtId="2" fontId="4" fillId="20" borderId="5" xfId="0" applyNumberFormat="1" applyFont="1" applyFill="1" applyBorder="1" applyAlignment="1">
      <alignment horizontal="left"/>
    </xf>
    <xf numFmtId="0" fontId="6" fillId="20" borderId="0" xfId="0" applyFont="1" applyFill="1" applyAlignment="1">
      <alignment horizontal="right"/>
    </xf>
    <xf numFmtId="2" fontId="20" fillId="20" borderId="5" xfId="0" applyNumberFormat="1" applyFont="1" applyFill="1" applyBorder="1" applyAlignment="1">
      <alignment horizontal="right" indent="1"/>
    </xf>
    <xf numFmtId="0" fontId="20" fillId="20" borderId="5" xfId="0" applyFont="1" applyFill="1" applyBorder="1"/>
    <xf numFmtId="0" fontId="3" fillId="0" borderId="2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wrapText="1"/>
    </xf>
    <xf numFmtId="0" fontId="40" fillId="0" borderId="0" xfId="0" applyFont="1"/>
    <xf numFmtId="2" fontId="4" fillId="0" borderId="5" xfId="0" applyNumberFormat="1" applyFont="1" applyBorder="1" applyAlignment="1">
      <alignment horizontal="right" indent="1"/>
    </xf>
    <xf numFmtId="9" fontId="5" fillId="0" borderId="2" xfId="0" applyNumberFormat="1" applyFont="1" applyBorder="1" applyAlignment="1">
      <alignment horizontal="right" indent="1"/>
    </xf>
    <xf numFmtId="0" fontId="5" fillId="20" borderId="4" xfId="0" applyFont="1" applyFill="1" applyBorder="1" applyAlignment="1">
      <alignment vertical="center" wrapText="1"/>
    </xf>
    <xf numFmtId="9" fontId="5" fillId="20" borderId="5" xfId="0" applyNumberFormat="1" applyFont="1" applyFill="1" applyBorder="1" applyAlignment="1">
      <alignment horizontal="right" indent="1"/>
    </xf>
    <xf numFmtId="0" fontId="5" fillId="0" borderId="5" xfId="0" applyFont="1" applyBorder="1" applyAlignment="1">
      <alignment vertical="center"/>
    </xf>
    <xf numFmtId="0" fontId="4" fillId="0" borderId="4" xfId="0" applyFont="1" applyBorder="1"/>
    <xf numFmtId="2" fontId="3" fillId="0" borderId="4" xfId="0" applyNumberFormat="1" applyFont="1" applyBorder="1" applyAlignment="1">
      <alignment horizontal="right" indent="1"/>
    </xf>
    <xf numFmtId="10" fontId="5" fillId="0" borderId="5" xfId="0" applyNumberFormat="1" applyFont="1" applyBorder="1" applyAlignment="1">
      <alignment horizontal="left"/>
    </xf>
    <xf numFmtId="0" fontId="12" fillId="20" borderId="4" xfId="0" applyFont="1" applyFill="1" applyBorder="1"/>
    <xf numFmtId="2" fontId="11" fillId="20" borderId="9" xfId="0" applyNumberFormat="1" applyFont="1" applyFill="1" applyBorder="1" applyAlignment="1">
      <alignment horizontal="right" vertical="center" indent="1"/>
    </xf>
    <xf numFmtId="0" fontId="12" fillId="20" borderId="5" xfId="0" applyFont="1" applyFill="1" applyBorder="1"/>
    <xf numFmtId="0" fontId="3" fillId="8" borderId="5" xfId="0" applyFont="1" applyFill="1" applyBorder="1" applyAlignment="1">
      <alignment vertical="center"/>
    </xf>
    <xf numFmtId="0" fontId="3" fillId="24" borderId="5" xfId="0" applyFont="1" applyFill="1" applyBorder="1"/>
    <xf numFmtId="0" fontId="33" fillId="0" borderId="5" xfId="0" applyFont="1" applyBorder="1" applyAlignment="1">
      <alignment horizontal="center" vertical="center"/>
    </xf>
    <xf numFmtId="10" fontId="7" fillId="20" borderId="5" xfId="1" applyNumberFormat="1" applyFont="1" applyFill="1" applyBorder="1" applyAlignment="1">
      <alignment horizontal="left" vertical="center"/>
    </xf>
    <xf numFmtId="2" fontId="11" fillId="0" borderId="3" xfId="0" applyNumberFormat="1" applyFont="1" applyBorder="1" applyAlignment="1">
      <alignment horizontal="right" vertical="center" indent="1"/>
    </xf>
    <xf numFmtId="0" fontId="7" fillId="20" borderId="5" xfId="0" applyFont="1" applyFill="1" applyBorder="1" applyAlignment="1">
      <alignment horizontal="center" vertical="center" wrapText="1"/>
    </xf>
    <xf numFmtId="0" fontId="5" fillId="6" borderId="9" xfId="0" applyFont="1" applyFill="1" applyBorder="1"/>
    <xf numFmtId="0" fontId="20" fillId="0" borderId="6" xfId="0" applyFont="1" applyBorder="1"/>
    <xf numFmtId="0" fontId="11" fillId="9" borderId="4" xfId="0" applyFont="1" applyFill="1" applyBorder="1"/>
    <xf numFmtId="0" fontId="11" fillId="10" borderId="4" xfId="0" applyFont="1" applyFill="1" applyBorder="1"/>
    <xf numFmtId="0" fontId="12" fillId="13" borderId="4" xfId="0" applyFont="1" applyFill="1" applyBorder="1"/>
    <xf numFmtId="0" fontId="20" fillId="0" borderId="11" xfId="0" applyFont="1" applyBorder="1"/>
    <xf numFmtId="0" fontId="11" fillId="14" borderId="4" xfId="0" applyFont="1" applyFill="1" applyBorder="1"/>
    <xf numFmtId="0" fontId="11" fillId="15" borderId="4" xfId="0" applyFont="1" applyFill="1" applyBorder="1"/>
    <xf numFmtId="0" fontId="20" fillId="0" borderId="8" xfId="0" applyFont="1" applyBorder="1"/>
    <xf numFmtId="0" fontId="11" fillId="9" borderId="3" xfId="0" applyFont="1" applyFill="1" applyBorder="1"/>
    <xf numFmtId="0" fontId="11" fillId="10" borderId="3" xfId="0" applyFont="1" applyFill="1" applyBorder="1"/>
    <xf numFmtId="0" fontId="12" fillId="13" borderId="3" xfId="0" applyFont="1" applyFill="1" applyBorder="1"/>
    <xf numFmtId="0" fontId="20" fillId="0" borderId="10" xfId="0" applyFont="1" applyBorder="1"/>
    <xf numFmtId="0" fontId="5" fillId="3" borderId="3" xfId="0" applyFont="1" applyFill="1" applyBorder="1"/>
    <xf numFmtId="0" fontId="11" fillId="14" borderId="3" xfId="0" applyFont="1" applyFill="1" applyBorder="1"/>
    <xf numFmtId="0" fontId="11" fillId="15" borderId="3" xfId="0" applyFont="1" applyFill="1" applyBorder="1"/>
    <xf numFmtId="0" fontId="3" fillId="0" borderId="3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34" fillId="0" borderId="4" xfId="0" applyFont="1" applyBorder="1" applyAlignment="1">
      <alignment horizontal="right" vertical="center"/>
    </xf>
    <xf numFmtId="0" fontId="11" fillId="0" borderId="0" xfId="0" quotePrefix="1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/>
    <xf numFmtId="0" fontId="19" fillId="0" borderId="0" xfId="0" applyFont="1" applyAlignment="1">
      <alignment wrapText="1"/>
    </xf>
    <xf numFmtId="0" fontId="0" fillId="0" borderId="0" xfId="0"/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1" fillId="25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" fillId="20" borderId="6" xfId="0" applyFont="1" applyFill="1" applyBorder="1" applyAlignment="1">
      <alignment vertical="center"/>
    </xf>
    <xf numFmtId="0" fontId="0" fillId="20" borderId="7" xfId="0" applyFill="1" applyBorder="1"/>
    <xf numFmtId="0" fontId="0" fillId="20" borderId="12" xfId="0" applyFill="1" applyBorder="1"/>
    <xf numFmtId="0" fontId="0" fillId="20" borderId="9" xfId="0" applyFill="1" applyBorder="1"/>
    <xf numFmtId="0" fontId="2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31" fillId="0" borderId="9" xfId="0" applyFont="1" applyBorder="1" applyAlignment="1">
      <alignment wrapText="1"/>
    </xf>
    <xf numFmtId="0" fontId="27" fillId="0" borderId="7" xfId="0" applyFont="1" applyBorder="1" applyAlignment="1">
      <alignment horizontal="left" vertical="center" wrapText="1"/>
    </xf>
    <xf numFmtId="0" fontId="31" fillId="0" borderId="7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10" fontId="3" fillId="6" borderId="5" xfId="1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9" fontId="5" fillId="6" borderId="5" xfId="1" applyNumberFormat="1" applyFont="1" applyFill="1" applyBorder="1" applyAlignment="1">
      <alignment horizontal="right" indent="1"/>
    </xf>
    <xf numFmtId="167" fontId="3" fillId="20" borderId="9" xfId="0" applyNumberFormat="1" applyFont="1" applyFill="1" applyBorder="1" applyAlignment="1">
      <alignment horizontal="right" vertical="center" indent="1"/>
    </xf>
    <xf numFmtId="167" fontId="3" fillId="0" borderId="14" xfId="0" applyNumberFormat="1" applyFont="1" applyBorder="1" applyAlignment="1">
      <alignment horizontal="right" vertical="center" indent="1"/>
    </xf>
  </cellXfs>
  <cellStyles count="5">
    <cellStyle name="Hipervínculo" xfId="4" builtinId="8"/>
    <cellStyle name="Normal" xfId="0" builtinId="0"/>
    <cellStyle name="Normal 10" xfId="2" xr:uid="{67D93D48-BFFD-4FDD-93DC-E3C0FCE46B6E}"/>
    <cellStyle name="Porcentaje" xfId="1" builtinId="5"/>
    <cellStyle name="Porcentaje 2" xfId="3" xr:uid="{75324D31-39D7-4AFF-A5A0-522F1DE7BF85}"/>
  </cellStyles>
  <dxfs count="0"/>
  <tableStyles count="0" defaultTableStyle="TableStyleMedium9" defaultPivotStyle="PivotStyleLight16"/>
  <colors>
    <mruColors>
      <color rgb="FFCCFFFF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355600</xdr:colOff>
      <xdr:row>22</xdr:row>
      <xdr:rowOff>167132</xdr:rowOff>
    </xdr:from>
    <xdr:to>
      <xdr:col>3</xdr:col>
      <xdr:colOff>596900</xdr:colOff>
      <xdr:row>24</xdr:row>
      <xdr:rowOff>66040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3AD93A-04DB-4A67-82AE-BB776AB45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0" y="3735832"/>
          <a:ext cx="241300" cy="279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273620</xdr:colOff>
      <xdr:row>114</xdr:row>
      <xdr:rowOff>0</xdr:rowOff>
    </xdr:from>
    <xdr:to>
      <xdr:col>33</xdr:col>
      <xdr:colOff>396875</xdr:colOff>
      <xdr:row>136</xdr:row>
      <xdr:rowOff>95250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FEBFB17-9BDB-4C67-A007-A796EB835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67020" y="23221950"/>
          <a:ext cx="5457255" cy="42862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723900</xdr:colOff>
      <xdr:row>113</xdr:row>
      <xdr:rowOff>0</xdr:rowOff>
    </xdr:from>
    <xdr:to>
      <xdr:col>20</xdr:col>
      <xdr:colOff>701675</xdr:colOff>
      <xdr:row>154</xdr:row>
      <xdr:rowOff>174534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97105855-4F51-40A0-AF69-C5EE0B6A6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1300" y="23031450"/>
          <a:ext cx="5311775" cy="7985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482600</xdr:colOff>
      <xdr:row>111</xdr:row>
      <xdr:rowOff>59106</xdr:rowOff>
    </xdr:from>
    <xdr:to>
      <xdr:col>24</xdr:col>
      <xdr:colOff>533400</xdr:colOff>
      <xdr:row>140</xdr:row>
      <xdr:rowOff>108567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312EF7FF-AB2D-49C9-A09D-A59812EB0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80000" y="22709556"/>
          <a:ext cx="4622800" cy="5573961"/>
        </a:xfrm>
        <a:prstGeom prst="rect">
          <a:avLst/>
        </a:prstGeom>
      </xdr:spPr>
    </xdr:pic>
    <xdr:clientData/>
  </xdr:twoCellAnchor>
  <xdr:twoCellAnchor editAs="oneCell">
    <xdr:from>
      <xdr:col>21</xdr:col>
      <xdr:colOff>558800</xdr:colOff>
      <xdr:row>113</xdr:row>
      <xdr:rowOff>0</xdr:rowOff>
    </xdr:from>
    <xdr:to>
      <xdr:col>25</xdr:col>
      <xdr:colOff>434610</xdr:colOff>
      <xdr:row>136</xdr:row>
      <xdr:rowOff>75696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1297CFCB-3A1F-4D81-8A66-91C02E62B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142200" y="23031450"/>
          <a:ext cx="2923810" cy="445719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304800</xdr:colOff>
      <xdr:row>21</xdr:row>
      <xdr:rowOff>111125</xdr:rowOff>
    </xdr:to>
    <xdr:sp macro="" textlink="">
      <xdr:nvSpPr>
        <xdr:cNvPr id="6" name="AutoShape 5" descr="{\displaystyle Q=0.2787\ C\ D_{i}^{2.63}\ S^{0.54}}">
          <a:extLst>
            <a:ext uri="{FF2B5EF4-FFF2-40B4-BE49-F238E27FC236}">
              <a16:creationId xmlns:a16="http://schemas.microsoft.com/office/drawing/2014/main" id="{13DE4931-1941-488C-B189-FD7186216131}"/>
            </a:ext>
          </a:extLst>
        </xdr:cNvPr>
        <xdr:cNvSpPr>
          <a:spLocks noChangeAspect="1" noChangeArrowheads="1"/>
        </xdr:cNvSpPr>
      </xdr:nvSpPr>
      <xdr:spPr bwMode="auto">
        <a:xfrm>
          <a:off x="7867650" y="5219700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43</xdr:row>
      <xdr:rowOff>0</xdr:rowOff>
    </xdr:from>
    <xdr:ext cx="304800" cy="304800"/>
    <xdr:sp macro="" textlink="">
      <xdr:nvSpPr>
        <xdr:cNvPr id="7" name="AutoShape 5" descr="{\displaystyle Q=0.2787\ C\ D_{i}^{2.63}\ S^{0.54}}">
          <a:extLst>
            <a:ext uri="{FF2B5EF4-FFF2-40B4-BE49-F238E27FC236}">
              <a16:creationId xmlns:a16="http://schemas.microsoft.com/office/drawing/2014/main" id="{A601C6FF-A19F-4D4B-9006-435AF8064975}"/>
            </a:ext>
          </a:extLst>
        </xdr:cNvPr>
        <xdr:cNvSpPr>
          <a:spLocks noChangeAspect="1" noChangeArrowheads="1"/>
        </xdr:cNvSpPr>
      </xdr:nvSpPr>
      <xdr:spPr bwMode="auto">
        <a:xfrm>
          <a:off x="13487400" y="944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0</xdr:rowOff>
    </xdr:from>
    <xdr:ext cx="304800" cy="342900"/>
    <xdr:sp macro="" textlink="">
      <xdr:nvSpPr>
        <xdr:cNvPr id="2" name="AutoShape 5" descr="{\displaystyle Q=0.2787\ C\ D_{i}^{2.63}\ S^{0.54}}">
          <a:extLst>
            <a:ext uri="{FF2B5EF4-FFF2-40B4-BE49-F238E27FC236}">
              <a16:creationId xmlns:a16="http://schemas.microsoft.com/office/drawing/2014/main" id="{7E7B5153-FB77-4772-81D2-C4652FCF192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5715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01625"/>
    <xdr:sp macro="" textlink="">
      <xdr:nvSpPr>
        <xdr:cNvPr id="3" name="AutoShape 5" descr="{\displaystyle Q=0.2787\ C\ D_{i}^{2.63}\ S^{0.54}}">
          <a:extLst>
            <a:ext uri="{FF2B5EF4-FFF2-40B4-BE49-F238E27FC236}">
              <a16:creationId xmlns:a16="http://schemas.microsoft.com/office/drawing/2014/main" id="{F78550D0-D976-42BB-8E7C-705C8842C05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238500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" name="AutoShape 5" descr="{\displaystyle Q=0.2787\ C\ D_{i}^{2.63}\ S^{0.54}}">
          <a:extLst>
            <a:ext uri="{FF2B5EF4-FFF2-40B4-BE49-F238E27FC236}">
              <a16:creationId xmlns:a16="http://schemas.microsoft.com/office/drawing/2014/main" id="{03EB82C2-5863-4174-9D34-1B6079365C7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5" name="AutoShape 5" descr="{\displaystyle Q=0.2787\ C\ D_{i}^{2.63}\ S^{0.54}}">
          <a:extLst>
            <a:ext uri="{FF2B5EF4-FFF2-40B4-BE49-F238E27FC236}">
              <a16:creationId xmlns:a16="http://schemas.microsoft.com/office/drawing/2014/main" id="{DC9279E9-9EEA-412A-A094-FC9F53584E8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6" name="AutoShape 5" descr="{\displaystyle Q=0.2787\ C\ D_{i}^{2.63}\ S^{0.54}}">
          <a:extLst>
            <a:ext uri="{FF2B5EF4-FFF2-40B4-BE49-F238E27FC236}">
              <a16:creationId xmlns:a16="http://schemas.microsoft.com/office/drawing/2014/main" id="{0957EF3D-667F-484B-AF29-A030A8114C4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7" name="AutoShape 5" descr="{\displaystyle Q=0.2787\ C\ D_{i}^{2.63}\ S^{0.54}}">
          <a:extLst>
            <a:ext uri="{FF2B5EF4-FFF2-40B4-BE49-F238E27FC236}">
              <a16:creationId xmlns:a16="http://schemas.microsoft.com/office/drawing/2014/main" id="{B5CE342B-9328-44D6-AE39-B9A5CC5D8B2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8" name="AutoShape 5" descr="{\displaystyle Q=0.2787\ C\ D_{i}^{2.63}\ S^{0.54}}">
          <a:extLst>
            <a:ext uri="{FF2B5EF4-FFF2-40B4-BE49-F238E27FC236}">
              <a16:creationId xmlns:a16="http://schemas.microsoft.com/office/drawing/2014/main" id="{E853719F-073A-4C3D-8B37-C46842D5D91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9" name="AutoShape 5" descr="{\displaystyle Q=0.2787\ C\ D_{i}^{2.63}\ S^{0.54}}">
          <a:extLst>
            <a:ext uri="{FF2B5EF4-FFF2-40B4-BE49-F238E27FC236}">
              <a16:creationId xmlns:a16="http://schemas.microsoft.com/office/drawing/2014/main" id="{723EC09C-F31F-4C9A-B476-CD6FDF90422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0" name="AutoShape 5" descr="{\displaystyle Q=0.2787\ C\ D_{i}^{2.63}\ S^{0.54}}">
          <a:extLst>
            <a:ext uri="{FF2B5EF4-FFF2-40B4-BE49-F238E27FC236}">
              <a16:creationId xmlns:a16="http://schemas.microsoft.com/office/drawing/2014/main" id="{1792B320-AED6-4026-B342-4EFB8AC9033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1" name="AutoShape 5" descr="{\displaystyle Q=0.2787\ C\ D_{i}^{2.63}\ S^{0.54}}">
          <a:extLst>
            <a:ext uri="{FF2B5EF4-FFF2-40B4-BE49-F238E27FC236}">
              <a16:creationId xmlns:a16="http://schemas.microsoft.com/office/drawing/2014/main" id="{55C3E0C0-078C-45A3-81AE-0599E535794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2" name="AutoShape 5" descr="{\displaystyle Q=0.2787\ C\ D_{i}^{2.63}\ S^{0.54}}">
          <a:extLst>
            <a:ext uri="{FF2B5EF4-FFF2-40B4-BE49-F238E27FC236}">
              <a16:creationId xmlns:a16="http://schemas.microsoft.com/office/drawing/2014/main" id="{E60ADE61-38BD-45DF-AE81-E244E77C96F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3" name="AutoShape 5" descr="{\displaystyle Q=0.2787\ C\ D_{i}^{2.63}\ S^{0.54}}">
          <a:extLst>
            <a:ext uri="{FF2B5EF4-FFF2-40B4-BE49-F238E27FC236}">
              <a16:creationId xmlns:a16="http://schemas.microsoft.com/office/drawing/2014/main" id="{0B977004-31BC-4C1C-9991-6228C3535BA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4" name="AutoShape 5" descr="{\displaystyle Q=0.2787\ C\ D_{i}^{2.63}\ S^{0.54}}">
          <a:extLst>
            <a:ext uri="{FF2B5EF4-FFF2-40B4-BE49-F238E27FC236}">
              <a16:creationId xmlns:a16="http://schemas.microsoft.com/office/drawing/2014/main" id="{708EA31C-2EB8-4C89-8832-3A2EA22F83E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20</xdr:row>
      <xdr:rowOff>142875</xdr:rowOff>
    </xdr:from>
    <xdr:to>
      <xdr:col>5</xdr:col>
      <xdr:colOff>394003</xdr:colOff>
      <xdr:row>32</xdr:row>
      <xdr:rowOff>157982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EC6601-8217-48DE-BC21-549F2CAEF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562475"/>
          <a:ext cx="4232578" cy="23011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%20Propuesta%20Tecnologias%20Tratamiento%20y%20Piscicultura/Calculos/Bioportadores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Bioportadores PP"/>
      <sheetName val="Burbujas"/>
      <sheetName val="Hoja1"/>
      <sheetName val="Conjunto BF"/>
    </sheetNames>
    <sheetDataSet>
      <sheetData sheetId="0">
        <row r="32">
          <cell r="F32">
            <v>15625</v>
          </cell>
        </row>
        <row r="35">
          <cell r="F35">
            <v>605.47590018476353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ngineeringtoolbox.com/density-materials-d_1652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hermexcel.com/english/tables/eau_atm.ht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helbertycia.com/detalle_Producto.asp?IdProducto=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02C2F-A3A1-4120-BE98-255DCF132A92}">
  <dimension ref="A1:H99"/>
  <sheetViews>
    <sheetView showGridLines="0" topLeftCell="B1" zoomScale="75" zoomScaleNormal="75" workbookViewId="0">
      <selection activeCell="H58" sqref="H58"/>
    </sheetView>
  </sheetViews>
  <sheetFormatPr baseColWidth="10" defaultRowHeight="15" x14ac:dyDescent="0.25"/>
  <cols>
    <col min="1" max="1" width="24.7109375" customWidth="1"/>
    <col min="2" max="2" width="48.28515625" style="87" customWidth="1"/>
    <col min="3" max="3" width="67.85546875" customWidth="1"/>
    <col min="4" max="4" width="13.7109375" customWidth="1"/>
    <col min="5" max="5" width="11.85546875" customWidth="1"/>
    <col min="6" max="6" width="11" customWidth="1"/>
    <col min="7" max="7" width="15.7109375" customWidth="1"/>
    <col min="8" max="8" width="14.28515625" customWidth="1"/>
  </cols>
  <sheetData>
    <row r="1" spans="1:8" ht="15.75" x14ac:dyDescent="0.25">
      <c r="C1" s="159" t="s">
        <v>109</v>
      </c>
      <c r="D1" s="160"/>
      <c r="E1" s="83"/>
    </row>
    <row r="2" spans="1:8" x14ac:dyDescent="0.25">
      <c r="C2" s="581" t="s">
        <v>380</v>
      </c>
      <c r="D2" s="160"/>
      <c r="E2" s="83"/>
    </row>
    <row r="3" spans="1:8" x14ac:dyDescent="0.25">
      <c r="C3" s="566" t="s">
        <v>77</v>
      </c>
      <c r="D3" s="161"/>
      <c r="E3" s="83"/>
    </row>
    <row r="4" spans="1:8" x14ac:dyDescent="0.25">
      <c r="C4" s="567" t="s">
        <v>136</v>
      </c>
      <c r="D4" s="161"/>
      <c r="E4" s="83"/>
    </row>
    <row r="5" spans="1:8" x14ac:dyDescent="0.25">
      <c r="C5" s="568" t="s">
        <v>189</v>
      </c>
      <c r="D5" s="83"/>
      <c r="E5" s="83"/>
    </row>
    <row r="6" spans="1:8" x14ac:dyDescent="0.25">
      <c r="C6" s="569" t="s">
        <v>381</v>
      </c>
      <c r="D6" s="88"/>
      <c r="E6" s="83"/>
    </row>
    <row r="7" spans="1:8" x14ac:dyDescent="0.25">
      <c r="C7" s="570" t="s">
        <v>190</v>
      </c>
      <c r="D7" s="28"/>
      <c r="E7" s="83"/>
    </row>
    <row r="8" spans="1:8" x14ac:dyDescent="0.25">
      <c r="C8" s="571" t="s">
        <v>57</v>
      </c>
      <c r="D8" s="161"/>
      <c r="E8" s="83"/>
    </row>
    <row r="9" spans="1:8" x14ac:dyDescent="0.25">
      <c r="C9" s="572" t="s">
        <v>137</v>
      </c>
      <c r="D9" s="161"/>
      <c r="E9" s="161"/>
    </row>
    <row r="10" spans="1:8" x14ac:dyDescent="0.25">
      <c r="C10" s="573" t="s">
        <v>191</v>
      </c>
      <c r="D10" s="83"/>
      <c r="E10" s="83"/>
    </row>
    <row r="11" spans="1:8" ht="31.5" x14ac:dyDescent="0.25">
      <c r="A11" s="393" t="s">
        <v>441</v>
      </c>
      <c r="B11" s="582" t="s">
        <v>138</v>
      </c>
      <c r="C11" s="648" t="s">
        <v>499</v>
      </c>
      <c r="D11" s="2"/>
      <c r="E11" s="2"/>
      <c r="F11" s="15"/>
      <c r="G11" s="393" t="s">
        <v>139</v>
      </c>
      <c r="H11" s="394" t="s">
        <v>140</v>
      </c>
    </row>
    <row r="12" spans="1:8" ht="15.75" x14ac:dyDescent="0.25">
      <c r="A12" s="1"/>
      <c r="B12" s="71"/>
      <c r="C12" s="395" t="s">
        <v>100</v>
      </c>
      <c r="D12" s="396"/>
      <c r="E12" s="397"/>
      <c r="F12" s="397"/>
      <c r="G12" s="412"/>
      <c r="H12" s="398"/>
    </row>
    <row r="13" spans="1:8" ht="15" customHeight="1" x14ac:dyDescent="0.25">
      <c r="A13" s="1"/>
      <c r="B13" s="589" t="s">
        <v>446</v>
      </c>
      <c r="C13" s="86" t="s">
        <v>108</v>
      </c>
      <c r="D13" s="72" t="s">
        <v>46</v>
      </c>
      <c r="E13" s="78">
        <f>'Planta MBBR'!E57</f>
        <v>2</v>
      </c>
      <c r="F13" s="404" t="s">
        <v>5</v>
      </c>
      <c r="G13" s="489">
        <f>'Planta MBBR'!G57</f>
        <v>2</v>
      </c>
      <c r="H13" s="411">
        <f t="shared" ref="H13:H27" si="0">G13-E13</f>
        <v>0</v>
      </c>
    </row>
    <row r="14" spans="1:8" ht="15" customHeight="1" x14ac:dyDescent="0.25">
      <c r="A14" s="1"/>
      <c r="B14" s="591" t="s">
        <v>221</v>
      </c>
      <c r="C14" s="86" t="s">
        <v>58</v>
      </c>
      <c r="D14" s="72" t="s">
        <v>1</v>
      </c>
      <c r="E14" s="78">
        <v>10</v>
      </c>
      <c r="F14" s="404" t="s">
        <v>9</v>
      </c>
      <c r="G14" s="489">
        <v>10</v>
      </c>
      <c r="H14" s="411">
        <f t="shared" si="0"/>
        <v>0</v>
      </c>
    </row>
    <row r="15" spans="1:8" ht="15" customHeight="1" x14ac:dyDescent="0.25">
      <c r="A15" s="1"/>
      <c r="B15" s="589"/>
      <c r="C15" s="90" t="s">
        <v>53</v>
      </c>
      <c r="D15" s="74" t="s">
        <v>59</v>
      </c>
      <c r="E15" s="91">
        <f>E14^2/19.6</f>
        <v>5.1020408163265305</v>
      </c>
      <c r="F15" s="319" t="s">
        <v>28</v>
      </c>
      <c r="G15" s="490">
        <f>G14^2/19.6</f>
        <v>5.1020408163265305</v>
      </c>
      <c r="H15" s="411">
        <f t="shared" si="0"/>
        <v>0</v>
      </c>
    </row>
    <row r="16" spans="1:8" ht="15" customHeight="1" x14ac:dyDescent="0.25">
      <c r="A16" s="1"/>
      <c r="B16" s="589" t="s">
        <v>455</v>
      </c>
      <c r="C16" s="348" t="s">
        <v>86</v>
      </c>
      <c r="D16" s="349"/>
      <c r="E16" s="350">
        <v>3</v>
      </c>
      <c r="F16" s="405" t="s">
        <v>24</v>
      </c>
      <c r="G16" s="491">
        <v>3</v>
      </c>
      <c r="H16" s="411">
        <f t="shared" si="0"/>
        <v>0</v>
      </c>
    </row>
    <row r="17" spans="1:8" ht="15" customHeight="1" x14ac:dyDescent="0.25">
      <c r="A17" s="1"/>
      <c r="B17" s="589" t="s">
        <v>455</v>
      </c>
      <c r="C17" s="348" t="s">
        <v>87</v>
      </c>
      <c r="D17" s="349"/>
      <c r="E17" s="350">
        <v>18</v>
      </c>
      <c r="F17" s="405" t="s">
        <v>24</v>
      </c>
      <c r="G17" s="491">
        <v>18</v>
      </c>
      <c r="H17" s="411">
        <f t="shared" si="0"/>
        <v>0</v>
      </c>
    </row>
    <row r="18" spans="1:8" ht="15" customHeight="1" x14ac:dyDescent="0.25">
      <c r="A18" s="1"/>
      <c r="B18" s="589"/>
      <c r="C18" s="368" t="s">
        <v>60</v>
      </c>
      <c r="D18" s="369" t="s">
        <v>122</v>
      </c>
      <c r="E18" s="370">
        <f>E16*E17</f>
        <v>54</v>
      </c>
      <c r="F18" s="406" t="s">
        <v>24</v>
      </c>
      <c r="G18" s="492">
        <f>G16*G17</f>
        <v>54</v>
      </c>
      <c r="H18" s="411">
        <f t="shared" si="0"/>
        <v>0</v>
      </c>
    </row>
    <row r="19" spans="1:8" ht="15" customHeight="1" x14ac:dyDescent="0.25">
      <c r="A19" s="1"/>
      <c r="B19" s="589"/>
      <c r="C19" s="348" t="s">
        <v>61</v>
      </c>
      <c r="D19" s="351" t="s">
        <v>81</v>
      </c>
      <c r="E19" s="352">
        <f>25.4/8</f>
        <v>3.1749999999999998</v>
      </c>
      <c r="F19" s="407" t="s">
        <v>29</v>
      </c>
      <c r="G19" s="490">
        <f>25.4/8</f>
        <v>3.1749999999999998</v>
      </c>
      <c r="H19" s="411">
        <f t="shared" si="0"/>
        <v>0</v>
      </c>
    </row>
    <row r="20" spans="1:8" ht="15" customHeight="1" x14ac:dyDescent="0.25">
      <c r="A20" s="1"/>
      <c r="B20" s="589"/>
      <c r="C20" s="95" t="s">
        <v>62</v>
      </c>
      <c r="D20" s="96"/>
      <c r="E20" s="371">
        <f>0.25*3.14*E19^2</f>
        <v>7.9132906250000001</v>
      </c>
      <c r="F20" s="319" t="s">
        <v>30</v>
      </c>
      <c r="G20" s="454">
        <f>0.25*3.14*G19^2</f>
        <v>7.9132906250000001</v>
      </c>
      <c r="H20" s="411">
        <f t="shared" si="0"/>
        <v>0</v>
      </c>
    </row>
    <row r="21" spans="1:8" ht="15" customHeight="1" x14ac:dyDescent="0.25">
      <c r="A21" s="1"/>
      <c r="B21" s="589"/>
      <c r="C21" s="80" t="s">
        <v>63</v>
      </c>
      <c r="D21" s="81" t="s">
        <v>45</v>
      </c>
      <c r="E21" s="82">
        <v>0.57999999999999996</v>
      </c>
      <c r="F21" s="408"/>
      <c r="G21" s="490">
        <v>0.57999999999999996</v>
      </c>
      <c r="H21" s="411">
        <f t="shared" si="0"/>
        <v>0</v>
      </c>
    </row>
    <row r="22" spans="1:8" ht="15" customHeight="1" x14ac:dyDescent="0.25">
      <c r="A22" s="1"/>
      <c r="B22" s="589"/>
      <c r="C22" s="95" t="s">
        <v>103</v>
      </c>
      <c r="D22" s="96"/>
      <c r="E22" s="77">
        <f>E21*1000*E14*E20/1000000</f>
        <v>4.5897085625E-2</v>
      </c>
      <c r="F22" s="319" t="s">
        <v>0</v>
      </c>
      <c r="G22" s="454">
        <f>G21*1000*G14*G20/1000000</f>
        <v>4.5897085625E-2</v>
      </c>
      <c r="H22" s="411">
        <f t="shared" si="0"/>
        <v>0</v>
      </c>
    </row>
    <row r="23" spans="1:8" ht="15" customHeight="1" x14ac:dyDescent="0.25">
      <c r="A23" s="1"/>
      <c r="B23" s="589"/>
      <c r="C23" s="97" t="s">
        <v>64</v>
      </c>
      <c r="D23" s="98" t="s">
        <v>32</v>
      </c>
      <c r="E23" s="93">
        <f>E22*E18</f>
        <v>2.4784426237499999</v>
      </c>
      <c r="F23" s="409" t="s">
        <v>0</v>
      </c>
      <c r="G23" s="454">
        <f>G22*G18</f>
        <v>2.4784426237499999</v>
      </c>
      <c r="H23" s="411">
        <f t="shared" si="0"/>
        <v>0</v>
      </c>
    </row>
    <row r="24" spans="1:8" ht="15" customHeight="1" x14ac:dyDescent="0.25">
      <c r="A24" s="1"/>
      <c r="B24" s="589"/>
      <c r="C24" s="368" t="s">
        <v>104</v>
      </c>
      <c r="D24" s="369"/>
      <c r="E24" s="372">
        <v>2</v>
      </c>
      <c r="F24" s="406" t="s">
        <v>8</v>
      </c>
      <c r="G24" s="490">
        <v>2</v>
      </c>
      <c r="H24" s="411">
        <f t="shared" si="0"/>
        <v>0</v>
      </c>
    </row>
    <row r="25" spans="1:8" ht="15" customHeight="1" x14ac:dyDescent="0.25">
      <c r="A25" s="1"/>
      <c r="B25" s="589"/>
      <c r="C25" s="95" t="s">
        <v>105</v>
      </c>
      <c r="D25" s="96"/>
      <c r="E25" s="77">
        <f>0.001*E23/(0.25*3.14*(0.025*E24)^2)</f>
        <v>1.2629006999999999</v>
      </c>
      <c r="F25" s="319" t="s">
        <v>9</v>
      </c>
      <c r="G25" s="454">
        <f>0.001*G23/(0.25*3.14*(0.025*G24)^2)</f>
        <v>1.2629006999999999</v>
      </c>
      <c r="H25" s="411">
        <f t="shared" si="0"/>
        <v>0</v>
      </c>
    </row>
    <row r="26" spans="1:8" ht="15" customHeight="1" x14ac:dyDescent="0.25">
      <c r="A26" s="1"/>
      <c r="B26" s="589"/>
      <c r="C26" s="95" t="s">
        <v>69</v>
      </c>
      <c r="D26" s="96"/>
      <c r="E26" s="77">
        <f>E25^2/19.6</f>
        <v>8.1373376431657637E-2</v>
      </c>
      <c r="F26" s="319" t="s">
        <v>4</v>
      </c>
      <c r="G26" s="454">
        <f>G25^2/19.6</f>
        <v>8.1373376431657637E-2</v>
      </c>
      <c r="H26" s="411">
        <f t="shared" si="0"/>
        <v>0</v>
      </c>
    </row>
    <row r="27" spans="1:8" ht="15" customHeight="1" x14ac:dyDescent="0.25">
      <c r="A27" s="1"/>
      <c r="B27" s="589"/>
      <c r="C27" s="368" t="s">
        <v>106</v>
      </c>
      <c r="D27" s="369" t="s">
        <v>20</v>
      </c>
      <c r="E27" s="372">
        <f>E44*E18</f>
        <v>0.12404858234177298</v>
      </c>
      <c r="F27" s="406" t="s">
        <v>21</v>
      </c>
      <c r="G27" s="454">
        <f>G44*G18</f>
        <v>0.12404858234177298</v>
      </c>
      <c r="H27" s="411">
        <f t="shared" si="0"/>
        <v>0</v>
      </c>
    </row>
    <row r="28" spans="1:8" ht="15" customHeight="1" x14ac:dyDescent="0.25">
      <c r="A28" s="1"/>
      <c r="B28" s="99"/>
      <c r="C28" s="399" t="s">
        <v>107</v>
      </c>
      <c r="D28" s="71"/>
      <c r="E28" s="400"/>
      <c r="F28" s="401"/>
      <c r="G28" s="493"/>
      <c r="H28" s="15"/>
    </row>
    <row r="29" spans="1:8" ht="15" customHeight="1" x14ac:dyDescent="0.25">
      <c r="A29" s="1"/>
      <c r="B29" s="589"/>
      <c r="C29" s="86" t="s">
        <v>11</v>
      </c>
      <c r="D29" s="72"/>
      <c r="E29" s="73">
        <v>1000</v>
      </c>
      <c r="F29" s="404" t="s">
        <v>12</v>
      </c>
      <c r="G29" s="494">
        <v>1000</v>
      </c>
      <c r="H29" s="411">
        <f t="shared" ref="H29:H39" si="1">G29-E29</f>
        <v>0</v>
      </c>
    </row>
    <row r="30" spans="1:8" ht="15" customHeight="1" x14ac:dyDescent="0.25">
      <c r="A30" s="1"/>
      <c r="B30" s="589"/>
      <c r="C30" s="86" t="s">
        <v>6</v>
      </c>
      <c r="D30" s="72" t="s">
        <v>65</v>
      </c>
      <c r="E30" s="73">
        <v>25</v>
      </c>
      <c r="F30" s="404" t="s">
        <v>10</v>
      </c>
      <c r="G30" s="494">
        <v>25</v>
      </c>
      <c r="H30" s="411">
        <f t="shared" si="1"/>
        <v>0</v>
      </c>
    </row>
    <row r="31" spans="1:8" ht="15" customHeight="1" x14ac:dyDescent="0.25">
      <c r="A31" s="1"/>
      <c r="B31" s="589"/>
      <c r="C31" s="100" t="s">
        <v>14</v>
      </c>
      <c r="D31" s="101" t="s">
        <v>15</v>
      </c>
      <c r="E31" s="102">
        <v>101.33</v>
      </c>
      <c r="F31" s="410" t="s">
        <v>16</v>
      </c>
      <c r="G31" s="157">
        <v>101.33</v>
      </c>
      <c r="H31" s="411">
        <f t="shared" si="1"/>
        <v>0</v>
      </c>
    </row>
    <row r="32" spans="1:8" ht="15" customHeight="1" x14ac:dyDescent="0.25">
      <c r="A32" s="1"/>
      <c r="B32" s="589"/>
      <c r="C32" s="95" t="s">
        <v>17</v>
      </c>
      <c r="D32" s="96"/>
      <c r="E32" s="77">
        <f>-9.81*28.97*E29/(8314*(273.15+E30))</f>
        <v>-0.11464963296434179</v>
      </c>
      <c r="F32" s="92"/>
      <c r="G32" s="454">
        <f>-9.81*28.97*G29/(8314*(273.15+G30))</f>
        <v>-0.11464963296434179</v>
      </c>
      <c r="H32" s="411">
        <f t="shared" si="1"/>
        <v>0</v>
      </c>
    </row>
    <row r="33" spans="1:8" ht="15" customHeight="1" x14ac:dyDescent="0.25">
      <c r="A33" s="1"/>
      <c r="B33" s="589"/>
      <c r="C33" s="95" t="s">
        <v>18</v>
      </c>
      <c r="D33" s="96" t="s">
        <v>180</v>
      </c>
      <c r="E33" s="77">
        <f>E31*EXP(E32)</f>
        <v>90.353782803986036</v>
      </c>
      <c r="F33" s="92" t="s">
        <v>16</v>
      </c>
      <c r="G33" s="454">
        <f>G31*EXP(G32)</f>
        <v>90.353782803986036</v>
      </c>
      <c r="H33" s="411">
        <f t="shared" si="1"/>
        <v>0</v>
      </c>
    </row>
    <row r="34" spans="1:8" ht="15" customHeight="1" x14ac:dyDescent="0.25">
      <c r="A34" s="1"/>
      <c r="B34" s="589" t="s">
        <v>279</v>
      </c>
      <c r="C34" s="100" t="s">
        <v>19</v>
      </c>
      <c r="D34" s="101"/>
      <c r="E34" s="102">
        <f>VLOOKUP(ROUND(E30,0),'Agua- T°C'!B6:I46,5)</f>
        <v>3.1659999999999999</v>
      </c>
      <c r="F34" s="103" t="s">
        <v>16</v>
      </c>
      <c r="G34" s="157">
        <f>VLOOKUP(ROUND(G30,0),'Agua- T°C'!B6:I46,5)</f>
        <v>3.1659999999999999</v>
      </c>
      <c r="H34" s="411">
        <f t="shared" si="1"/>
        <v>0</v>
      </c>
    </row>
    <row r="35" spans="1:8" ht="15" customHeight="1" x14ac:dyDescent="0.25">
      <c r="A35" s="1"/>
      <c r="B35" s="589"/>
      <c r="C35" s="90" t="s">
        <v>141</v>
      </c>
      <c r="D35" s="353"/>
      <c r="E35" s="91">
        <v>0</v>
      </c>
      <c r="F35" s="92" t="s">
        <v>142</v>
      </c>
      <c r="G35" s="490">
        <v>0</v>
      </c>
      <c r="H35" s="411">
        <f t="shared" si="1"/>
        <v>0</v>
      </c>
    </row>
    <row r="36" spans="1:8" ht="15" customHeight="1" x14ac:dyDescent="0.25">
      <c r="A36" s="1"/>
      <c r="B36" s="589" t="s">
        <v>279</v>
      </c>
      <c r="C36" s="373" t="s">
        <v>181</v>
      </c>
      <c r="D36" s="374" t="s">
        <v>182</v>
      </c>
      <c r="E36" s="375">
        <f>VLOOKUP(ROUND(E30,0),'Agua- T°C'!B6:I46,6)</f>
        <v>8.24</v>
      </c>
      <c r="F36" s="376" t="s">
        <v>5</v>
      </c>
      <c r="G36" s="495">
        <f>VLOOKUP(ROUND(G30,0),'Agua- T°C'!B6:I46,6)</f>
        <v>8.24</v>
      </c>
      <c r="H36" s="411">
        <f t="shared" si="1"/>
        <v>0</v>
      </c>
    </row>
    <row r="37" spans="1:8" ht="15" customHeight="1" x14ac:dyDescent="0.25">
      <c r="A37" s="1"/>
      <c r="B37" s="589"/>
      <c r="C37" s="37" t="s">
        <v>183</v>
      </c>
      <c r="D37" s="179" t="s">
        <v>184</v>
      </c>
      <c r="E37" s="158">
        <f>E36*EXP(E32)</f>
        <v>7.3474308724449315</v>
      </c>
      <c r="F37" s="377" t="s">
        <v>5</v>
      </c>
      <c r="G37" s="445">
        <f>G36*EXP(G32)</f>
        <v>7.3474308724449315</v>
      </c>
      <c r="H37" s="411">
        <f t="shared" si="1"/>
        <v>0</v>
      </c>
    </row>
    <row r="38" spans="1:8" ht="15" customHeight="1" x14ac:dyDescent="0.25">
      <c r="A38" s="1"/>
      <c r="B38" s="588" t="s">
        <v>393</v>
      </c>
      <c r="C38" s="378" t="s">
        <v>135</v>
      </c>
      <c r="D38" s="379" t="s">
        <v>134</v>
      </c>
      <c r="E38" s="380">
        <f>2.52*(E14*E19/1000)^0.66</f>
        <v>0.25855408415491049</v>
      </c>
      <c r="F38" s="381" t="s">
        <v>4</v>
      </c>
      <c r="G38" s="496">
        <f>2.52*(G14*G19/1000)^0.66</f>
        <v>0.25855408415491049</v>
      </c>
      <c r="H38" s="411">
        <f t="shared" si="1"/>
        <v>0</v>
      </c>
    </row>
    <row r="39" spans="1:8" ht="15" customHeight="1" x14ac:dyDescent="0.25">
      <c r="A39" s="1"/>
      <c r="B39" s="589" t="s">
        <v>446</v>
      </c>
      <c r="C39" s="95" t="s">
        <v>222</v>
      </c>
      <c r="D39" s="96" t="s">
        <v>149</v>
      </c>
      <c r="E39" s="77">
        <f>'Planta MBBR'!E96</f>
        <v>0.3</v>
      </c>
      <c r="F39" s="92" t="s">
        <v>4</v>
      </c>
      <c r="G39" s="454">
        <f>'Planta MBBR'!G96</f>
        <v>0.3</v>
      </c>
      <c r="H39" s="411">
        <f t="shared" si="1"/>
        <v>0</v>
      </c>
    </row>
    <row r="40" spans="1:8" ht="15" customHeight="1" x14ac:dyDescent="0.25">
      <c r="A40" s="1"/>
      <c r="B40" s="589" t="s">
        <v>408</v>
      </c>
      <c r="C40" s="173" t="s">
        <v>185</v>
      </c>
      <c r="D40" s="57" t="s">
        <v>223</v>
      </c>
      <c r="E40" s="174">
        <f>E38+E39</f>
        <v>0.55855408415491048</v>
      </c>
      <c r="F40" s="175" t="s">
        <v>4</v>
      </c>
      <c r="G40" s="439">
        <f>G38+G39</f>
        <v>0.55855408415491048</v>
      </c>
      <c r="H40" s="411">
        <f t="shared" ref="H40:H54" si="2">G40-E40</f>
        <v>0</v>
      </c>
    </row>
    <row r="41" spans="1:8" ht="15" customHeight="1" x14ac:dyDescent="0.25">
      <c r="A41" s="1"/>
      <c r="B41" s="589"/>
      <c r="C41" s="402"/>
      <c r="D41" s="36"/>
      <c r="E41" s="176">
        <f>E40*9.8</f>
        <v>5.4738300247181231</v>
      </c>
      <c r="F41" s="177" t="s">
        <v>16</v>
      </c>
      <c r="G41" s="497">
        <f>G40*9.8</f>
        <v>5.4738300247181231</v>
      </c>
      <c r="H41" s="411">
        <f t="shared" si="2"/>
        <v>0</v>
      </c>
    </row>
    <row r="42" spans="1:8" ht="15" customHeight="1" x14ac:dyDescent="0.25">
      <c r="A42" s="1"/>
      <c r="B42" s="588" t="s">
        <v>374</v>
      </c>
      <c r="C42" s="178" t="s">
        <v>186</v>
      </c>
      <c r="D42" s="179" t="s">
        <v>13</v>
      </c>
      <c r="E42" s="180">
        <f>E37*(E33+E41/2)/E33</f>
        <v>7.5699925985066976</v>
      </c>
      <c r="F42" s="17" t="s">
        <v>5</v>
      </c>
      <c r="G42" s="495">
        <f>G37*(G33+G41/2)/G33</f>
        <v>7.5699925985066976</v>
      </c>
      <c r="H42" s="411">
        <f t="shared" si="2"/>
        <v>0</v>
      </c>
    </row>
    <row r="43" spans="1:8" ht="15" customHeight="1" x14ac:dyDescent="0.25">
      <c r="A43" s="1"/>
      <c r="B43" s="589" t="s">
        <v>279</v>
      </c>
      <c r="C43" s="181" t="s">
        <v>90</v>
      </c>
      <c r="D43" s="182" t="s">
        <v>187</v>
      </c>
      <c r="E43" s="183">
        <f>'Agua- T°C'!G26</f>
        <v>9.08</v>
      </c>
      <c r="F43" s="184" t="s">
        <v>5</v>
      </c>
      <c r="G43" s="445">
        <f>'Agua- T°C'!G26</f>
        <v>9.08</v>
      </c>
      <c r="H43" s="411">
        <f t="shared" si="2"/>
        <v>0</v>
      </c>
    </row>
    <row r="44" spans="1:8" ht="15" customHeight="1" x14ac:dyDescent="0.25">
      <c r="A44" s="1"/>
      <c r="B44" s="589" t="s">
        <v>373</v>
      </c>
      <c r="C44" s="382" t="s">
        <v>91</v>
      </c>
      <c r="D44" s="383" t="s">
        <v>92</v>
      </c>
      <c r="E44" s="384">
        <f>9.81*0.001*E22*E15</f>
        <v>2.297195969292092E-3</v>
      </c>
      <c r="F44" s="385" t="s">
        <v>21</v>
      </c>
      <c r="G44" s="496">
        <f>9.81*0.001*G22*G15</f>
        <v>2.297195969292092E-3</v>
      </c>
      <c r="H44" s="411">
        <f t="shared" si="2"/>
        <v>0</v>
      </c>
    </row>
    <row r="45" spans="1:8" ht="15" customHeight="1" x14ac:dyDescent="0.25">
      <c r="A45" s="1"/>
      <c r="B45" s="589" t="s">
        <v>321</v>
      </c>
      <c r="C45" s="185" t="s">
        <v>93</v>
      </c>
      <c r="D45" s="186" t="s">
        <v>440</v>
      </c>
      <c r="E45" s="187">
        <v>0.3</v>
      </c>
      <c r="F45" s="188" t="s">
        <v>4</v>
      </c>
      <c r="G45" s="439">
        <v>0.3</v>
      </c>
      <c r="H45" s="411">
        <f t="shared" si="2"/>
        <v>0</v>
      </c>
    </row>
    <row r="46" spans="1:8" ht="15" customHeight="1" x14ac:dyDescent="0.35">
      <c r="A46" s="1"/>
      <c r="B46" s="589" t="s">
        <v>375</v>
      </c>
      <c r="C46" s="16" t="s">
        <v>94</v>
      </c>
      <c r="D46" s="245" t="s">
        <v>95</v>
      </c>
      <c r="E46" s="45">
        <f>1.89*(E44^-0.29)*((0.001*E19)^0.2)*(E45^0.2)</f>
        <v>2.738339983931136</v>
      </c>
      <c r="F46" s="246" t="s">
        <v>143</v>
      </c>
      <c r="G46" s="439">
        <f>1.89*(G44^-0.29)*((0.001*G19)^0.2)*(G45^0.2)</f>
        <v>2.738339983931136</v>
      </c>
      <c r="H46" s="411">
        <f t="shared" si="2"/>
        <v>0</v>
      </c>
    </row>
    <row r="47" spans="1:8" ht="15" customHeight="1" x14ac:dyDescent="0.25">
      <c r="A47" s="1"/>
      <c r="B47" s="589"/>
      <c r="C47" s="403" t="s">
        <v>322</v>
      </c>
      <c r="E47" s="307">
        <f>E39/E40</f>
        <v>0.53710107670933693</v>
      </c>
      <c r="F47" s="246"/>
      <c r="G47" s="498">
        <f>G39/G40</f>
        <v>0.53710107670933693</v>
      </c>
      <c r="H47" s="411">
        <f t="shared" si="2"/>
        <v>0</v>
      </c>
    </row>
    <row r="48" spans="1:8" ht="15" customHeight="1" x14ac:dyDescent="0.25">
      <c r="A48" s="1"/>
      <c r="B48" s="589" t="s">
        <v>376</v>
      </c>
      <c r="C48" s="170" t="s">
        <v>144</v>
      </c>
      <c r="D48" s="171" t="s">
        <v>145</v>
      </c>
      <c r="E48" s="189">
        <v>2</v>
      </c>
      <c r="F48" s="172"/>
      <c r="G48" s="499">
        <v>2</v>
      </c>
      <c r="H48" s="411">
        <f t="shared" si="2"/>
        <v>0</v>
      </c>
    </row>
    <row r="49" spans="1:8" ht="30" customHeight="1" x14ac:dyDescent="0.25">
      <c r="A49" s="1"/>
      <c r="B49" s="589"/>
      <c r="C49" s="104" t="s">
        <v>146</v>
      </c>
      <c r="D49" s="94" t="s">
        <v>95</v>
      </c>
      <c r="E49" s="190">
        <f>E46*E48</f>
        <v>5.476679967862272</v>
      </c>
      <c r="F49" s="105" t="s">
        <v>143</v>
      </c>
      <c r="G49" s="445">
        <f>G46*G48</f>
        <v>5.476679967862272</v>
      </c>
      <c r="H49" s="628">
        <f t="shared" si="2"/>
        <v>0</v>
      </c>
    </row>
    <row r="50" spans="1:8" ht="33" customHeight="1" x14ac:dyDescent="0.25">
      <c r="A50" s="1"/>
      <c r="B50" s="588" t="s">
        <v>377</v>
      </c>
      <c r="C50" s="104" t="s">
        <v>147</v>
      </c>
      <c r="D50" s="94" t="s">
        <v>123</v>
      </c>
      <c r="E50" s="106">
        <f>E49*E44</f>
        <v>1.2581007147275955E-2</v>
      </c>
      <c r="F50" s="105" t="s">
        <v>34</v>
      </c>
      <c r="G50" s="500">
        <f>G49*G44</f>
        <v>1.2581007147275955E-2</v>
      </c>
      <c r="H50" s="628">
        <f t="shared" si="2"/>
        <v>0</v>
      </c>
    </row>
    <row r="51" spans="1:8" ht="15" customHeight="1" x14ac:dyDescent="0.25">
      <c r="A51" s="1"/>
      <c r="B51" s="588" t="s">
        <v>490</v>
      </c>
      <c r="C51" s="100" t="s">
        <v>96</v>
      </c>
      <c r="D51" s="101" t="s">
        <v>68</v>
      </c>
      <c r="E51" s="102">
        <v>0.95</v>
      </c>
      <c r="F51" s="103"/>
      <c r="G51" s="157">
        <v>0.95</v>
      </c>
      <c r="H51" s="411">
        <f t="shared" si="2"/>
        <v>0</v>
      </c>
    </row>
    <row r="52" spans="1:8" ht="15" customHeight="1" x14ac:dyDescent="0.25">
      <c r="A52" s="1"/>
      <c r="B52" s="588" t="s">
        <v>447</v>
      </c>
      <c r="C52" s="100" t="s">
        <v>66</v>
      </c>
      <c r="D52" s="107" t="s">
        <v>67</v>
      </c>
      <c r="E52" s="108">
        <v>0.95</v>
      </c>
      <c r="F52" s="109"/>
      <c r="G52" s="438">
        <v>0.95</v>
      </c>
      <c r="H52" s="411">
        <f t="shared" si="2"/>
        <v>0</v>
      </c>
    </row>
    <row r="53" spans="1:8" ht="15" customHeight="1" x14ac:dyDescent="0.25">
      <c r="A53" s="1"/>
      <c r="B53" s="588" t="s">
        <v>378</v>
      </c>
      <c r="C53" s="191" t="s">
        <v>97</v>
      </c>
      <c r="D53" s="74" t="s">
        <v>47</v>
      </c>
      <c r="E53" s="77">
        <f>E52*(E51*E42-E13)*(1.024^(E30-20))/E43</f>
        <v>0.61154695784305046</v>
      </c>
      <c r="F53" s="192"/>
      <c r="G53" s="454">
        <f>G52*(G51*G42-G13)*(1.024^(G30-20))/G43</f>
        <v>0.61154695784305046</v>
      </c>
      <c r="H53" s="411">
        <f t="shared" si="2"/>
        <v>0</v>
      </c>
    </row>
    <row r="54" spans="1:8" ht="15" customHeight="1" x14ac:dyDescent="0.25">
      <c r="A54" s="1"/>
      <c r="B54" s="588" t="s">
        <v>379</v>
      </c>
      <c r="C54" s="27" t="s">
        <v>188</v>
      </c>
      <c r="D54" s="110" t="s">
        <v>98</v>
      </c>
      <c r="E54" s="43">
        <f>E18*E50*E53</f>
        <v>0.41546933896598737</v>
      </c>
      <c r="F54" s="44" t="s">
        <v>99</v>
      </c>
      <c r="G54" s="439">
        <f>G18*G50*G53</f>
        <v>0.41546933896598737</v>
      </c>
      <c r="H54" s="411">
        <f t="shared" si="2"/>
        <v>0</v>
      </c>
    </row>
    <row r="55" spans="1:8" ht="15" customHeight="1" x14ac:dyDescent="0.25">
      <c r="A55" s="1"/>
      <c r="B55" s="583"/>
      <c r="C55" s="19" t="s">
        <v>504</v>
      </c>
      <c r="D55" s="9"/>
      <c r="E55" s="48"/>
      <c r="F55" s="11"/>
      <c r="G55" s="493"/>
      <c r="H55" s="15"/>
    </row>
    <row r="56" spans="1:8" ht="15" customHeight="1" x14ac:dyDescent="0.25">
      <c r="A56" s="1"/>
      <c r="B56" s="593" t="s">
        <v>221</v>
      </c>
      <c r="C56" s="216" t="s">
        <v>360</v>
      </c>
      <c r="D56" s="56"/>
      <c r="E56" s="60">
        <v>1</v>
      </c>
      <c r="F56" s="21" t="s">
        <v>24</v>
      </c>
      <c r="G56" s="501">
        <v>1</v>
      </c>
      <c r="H56" s="157">
        <f t="shared" ref="H56:H64" si="3">G56-E56</f>
        <v>0</v>
      </c>
    </row>
    <row r="57" spans="1:8" ht="15" customHeight="1" x14ac:dyDescent="0.25">
      <c r="A57" s="1"/>
      <c r="B57" s="593" t="s">
        <v>221</v>
      </c>
      <c r="C57" s="22" t="s">
        <v>233</v>
      </c>
      <c r="D57" s="261"/>
      <c r="E57" s="51">
        <v>2.8</v>
      </c>
      <c r="F57" s="344" t="s">
        <v>4</v>
      </c>
      <c r="G57" s="31">
        <v>2.8</v>
      </c>
      <c r="H57" s="157">
        <f t="shared" si="3"/>
        <v>0</v>
      </c>
    </row>
    <row r="58" spans="1:8" ht="15" customHeight="1" x14ac:dyDescent="0.25">
      <c r="A58" s="1"/>
      <c r="B58" s="593" t="s">
        <v>221</v>
      </c>
      <c r="C58" s="345" t="s">
        <v>475</v>
      </c>
      <c r="D58" s="261"/>
      <c r="E58" s="346">
        <v>4</v>
      </c>
      <c r="F58" s="344" t="s">
        <v>24</v>
      </c>
      <c r="G58" s="501">
        <v>4</v>
      </c>
      <c r="H58" s="157">
        <f t="shared" si="3"/>
        <v>0</v>
      </c>
    </row>
    <row r="59" spans="1:8" ht="15" customHeight="1" x14ac:dyDescent="0.25">
      <c r="A59" s="1"/>
      <c r="B59" s="593" t="s">
        <v>221</v>
      </c>
      <c r="C59" s="22" t="s">
        <v>369</v>
      </c>
      <c r="D59" s="261"/>
      <c r="E59" s="51">
        <v>1.8</v>
      </c>
      <c r="F59" s="344" t="s">
        <v>4</v>
      </c>
      <c r="G59" s="31">
        <v>1.8</v>
      </c>
      <c r="H59" s="157">
        <f t="shared" si="3"/>
        <v>0</v>
      </c>
    </row>
    <row r="60" spans="1:8" ht="15" customHeight="1" x14ac:dyDescent="0.25">
      <c r="A60" s="1"/>
      <c r="B60" s="593"/>
      <c r="C60" s="194" t="s">
        <v>101</v>
      </c>
      <c r="D60" s="262"/>
      <c r="E60" s="263">
        <f>E56*E58</f>
        <v>4</v>
      </c>
      <c r="F60" s="264" t="s">
        <v>50</v>
      </c>
      <c r="G60" s="220">
        <f>G56*G58</f>
        <v>4</v>
      </c>
      <c r="H60" s="157">
        <f t="shared" si="3"/>
        <v>0</v>
      </c>
    </row>
    <row r="61" spans="1:8" ht="15" customHeight="1" x14ac:dyDescent="0.25">
      <c r="A61" s="1"/>
      <c r="B61" s="587"/>
      <c r="C61" s="7" t="s">
        <v>80</v>
      </c>
      <c r="D61" s="12"/>
      <c r="E61" s="58">
        <f>E56*E57</f>
        <v>2.8</v>
      </c>
      <c r="F61" s="26" t="s">
        <v>4</v>
      </c>
      <c r="G61" s="45">
        <f>G56*G57</f>
        <v>2.8</v>
      </c>
      <c r="H61" s="157">
        <f t="shared" si="3"/>
        <v>0</v>
      </c>
    </row>
    <row r="62" spans="1:8" ht="15" customHeight="1" x14ac:dyDescent="0.25">
      <c r="A62" s="1"/>
      <c r="B62" s="587"/>
      <c r="C62" s="7" t="s">
        <v>148</v>
      </c>
      <c r="D62" s="12"/>
      <c r="E62" s="58">
        <f>E58*E59</f>
        <v>7.2</v>
      </c>
      <c r="F62" s="26" t="s">
        <v>4</v>
      </c>
      <c r="G62" s="45">
        <f>G58*G59</f>
        <v>7.2</v>
      </c>
      <c r="H62" s="157">
        <f t="shared" si="3"/>
        <v>0</v>
      </c>
    </row>
    <row r="63" spans="1:8" ht="15" customHeight="1" x14ac:dyDescent="0.25">
      <c r="A63" s="1"/>
      <c r="B63" s="587"/>
      <c r="C63" s="194" t="s">
        <v>48</v>
      </c>
      <c r="D63" s="195"/>
      <c r="E63" s="211">
        <f>E62*E61</f>
        <v>20.16</v>
      </c>
      <c r="F63" s="229" t="s">
        <v>3</v>
      </c>
      <c r="G63" s="45">
        <f>G62*G61</f>
        <v>20.16</v>
      </c>
      <c r="H63" s="157">
        <f t="shared" si="3"/>
        <v>0</v>
      </c>
    </row>
    <row r="64" spans="1:8" ht="15" customHeight="1" x14ac:dyDescent="0.25">
      <c r="A64" s="1"/>
      <c r="B64" s="594"/>
      <c r="C64" s="212" t="s">
        <v>231</v>
      </c>
      <c r="D64" s="195"/>
      <c r="E64" s="196">
        <f>1000*E60*E54/60</f>
        <v>27.697955931065827</v>
      </c>
      <c r="F64" s="328" t="s">
        <v>128</v>
      </c>
      <c r="G64" s="31">
        <f>1000*G60*G54/60</f>
        <v>27.697955931065827</v>
      </c>
      <c r="H64" s="157">
        <f t="shared" si="3"/>
        <v>0</v>
      </c>
    </row>
    <row r="65" spans="1:8" ht="15" customHeight="1" x14ac:dyDescent="0.25">
      <c r="A65" s="1"/>
      <c r="B65" s="594" t="s">
        <v>477</v>
      </c>
      <c r="C65" s="657" t="s">
        <v>39</v>
      </c>
      <c r="D65" s="329" t="s">
        <v>25</v>
      </c>
      <c r="E65" s="330" t="s">
        <v>43</v>
      </c>
      <c r="F65" s="330" t="s">
        <v>0</v>
      </c>
      <c r="G65" s="502"/>
      <c r="H65" s="157"/>
    </row>
    <row r="66" spans="1:8" x14ac:dyDescent="0.25">
      <c r="A66" s="1"/>
      <c r="B66" s="583"/>
      <c r="C66" s="657"/>
      <c r="D66" s="331">
        <f>F66*3.6</f>
        <v>35.689573781999997</v>
      </c>
      <c r="E66" s="332">
        <f>15.84*F66</f>
        <v>157.0341246408</v>
      </c>
      <c r="F66" s="333">
        <f>'Tubería de Aireación'!E5</f>
        <v>9.9137704949999996</v>
      </c>
      <c r="G66" s="76">
        <f>F66</f>
        <v>9.9137704949999996</v>
      </c>
      <c r="H66" s="157">
        <f>G66-F66</f>
        <v>0</v>
      </c>
    </row>
    <row r="67" spans="1:8" x14ac:dyDescent="0.25">
      <c r="A67" s="1"/>
      <c r="B67" s="594" t="s">
        <v>409</v>
      </c>
      <c r="C67" s="16" t="s">
        <v>51</v>
      </c>
      <c r="D67" s="334"/>
      <c r="E67" s="53">
        <f>'Parrilla Nitrificación Parcial'!E15</f>
        <v>5.1020408163265305</v>
      </c>
      <c r="F67" s="335" t="s">
        <v>4</v>
      </c>
      <c r="G67" s="53">
        <f>'Parrilla Nitrificación Parcial'!G15</f>
        <v>5.1020408163265305</v>
      </c>
      <c r="H67" s="157">
        <f t="shared" ref="H67:H75" si="4">G67-E67</f>
        <v>0</v>
      </c>
    </row>
    <row r="68" spans="1:8" x14ac:dyDescent="0.25">
      <c r="A68" s="1"/>
      <c r="B68" s="594" t="s">
        <v>321</v>
      </c>
      <c r="C68" s="68" t="s">
        <v>35</v>
      </c>
      <c r="D68" s="23"/>
      <c r="E68" s="51">
        <v>3.3</v>
      </c>
      <c r="F68" s="69" t="s">
        <v>4</v>
      </c>
      <c r="G68" s="31">
        <v>3.3</v>
      </c>
      <c r="H68" s="157">
        <f t="shared" si="4"/>
        <v>0</v>
      </c>
    </row>
    <row r="69" spans="1:8" x14ac:dyDescent="0.25">
      <c r="A69" s="1"/>
      <c r="B69" s="594" t="s">
        <v>477</v>
      </c>
      <c r="C69" s="212" t="s">
        <v>55</v>
      </c>
      <c r="D69" s="213"/>
      <c r="E69" s="228">
        <f>'Tubería de Aireación'!E2</f>
        <v>0.7329087382213415</v>
      </c>
      <c r="F69" s="328" t="s">
        <v>4</v>
      </c>
      <c r="G69" s="53">
        <f>'Tubería de Aireación'!G2</f>
        <v>0.7329087382213415</v>
      </c>
      <c r="H69" s="157">
        <f t="shared" si="4"/>
        <v>0</v>
      </c>
    </row>
    <row r="70" spans="1:8" ht="15" customHeight="1" x14ac:dyDescent="0.25">
      <c r="A70" s="1"/>
      <c r="B70" s="583"/>
      <c r="C70" s="336" t="s">
        <v>36</v>
      </c>
      <c r="D70" s="115"/>
      <c r="E70" s="58">
        <f>SUM(E67:E69)</f>
        <v>9.1349495545478714</v>
      </c>
      <c r="F70" s="8" t="s">
        <v>4</v>
      </c>
      <c r="G70" s="45">
        <f>SUM(E67:E69)</f>
        <v>9.1349495545478714</v>
      </c>
      <c r="H70" s="157">
        <f t="shared" si="4"/>
        <v>0</v>
      </c>
    </row>
    <row r="71" spans="1:8" ht="15" customHeight="1" x14ac:dyDescent="0.25">
      <c r="A71" s="1"/>
      <c r="B71" s="594" t="s">
        <v>503</v>
      </c>
      <c r="C71" s="252" t="s">
        <v>37</v>
      </c>
      <c r="D71" s="30"/>
      <c r="E71" s="253">
        <v>0.77</v>
      </c>
      <c r="F71" s="111"/>
      <c r="G71" s="503">
        <v>0.77</v>
      </c>
      <c r="H71" s="157">
        <f t="shared" si="4"/>
        <v>0</v>
      </c>
    </row>
    <row r="72" spans="1:8" ht="15" customHeight="1" x14ac:dyDescent="0.25">
      <c r="A72" s="1"/>
      <c r="B72" s="583"/>
      <c r="C72" s="244" t="s">
        <v>252</v>
      </c>
      <c r="D72" s="234"/>
      <c r="E72" s="235">
        <f>9.81*0.001*F66*E70/E71</f>
        <v>1.1537807700417335</v>
      </c>
      <c r="F72" s="232" t="s">
        <v>21</v>
      </c>
      <c r="G72" s="76">
        <f>9.81*0.001*G66*G70/G71</f>
        <v>1.1537807700417335</v>
      </c>
      <c r="H72" s="157">
        <f t="shared" si="4"/>
        <v>0</v>
      </c>
    </row>
    <row r="73" spans="1:8" x14ac:dyDescent="0.25">
      <c r="A73" s="1"/>
      <c r="B73" s="589" t="s">
        <v>446</v>
      </c>
      <c r="C73" s="3" t="s">
        <v>254</v>
      </c>
      <c r="D73" s="209"/>
      <c r="E73" s="233">
        <f>'Planta MBBR'!E68/'Planta MBBR'!E59</f>
        <v>0.43011659162321336</v>
      </c>
      <c r="F73" s="231"/>
      <c r="G73" s="233">
        <f>'Planta MBBR'!G68/'Planta MBBR'!G59</f>
        <v>0.43011659162321336</v>
      </c>
      <c r="H73" s="157">
        <f t="shared" si="4"/>
        <v>0</v>
      </c>
    </row>
    <row r="74" spans="1:8" x14ac:dyDescent="0.25">
      <c r="A74" s="1"/>
      <c r="B74" s="583"/>
      <c r="C74" s="27" t="s">
        <v>251</v>
      </c>
      <c r="D74" s="42"/>
      <c r="E74" s="481">
        <f>E72*E73*24*365</f>
        <v>4347.2398100670307</v>
      </c>
      <c r="F74" s="44" t="s">
        <v>253</v>
      </c>
      <c r="G74" s="504">
        <f>G72*G73*24*365</f>
        <v>4347.2398100670307</v>
      </c>
      <c r="H74" s="157">
        <f t="shared" si="4"/>
        <v>0</v>
      </c>
    </row>
    <row r="75" spans="1:8" x14ac:dyDescent="0.25">
      <c r="A75" s="1"/>
      <c r="B75" s="583"/>
      <c r="C75" s="27" t="s">
        <v>249</v>
      </c>
      <c r="D75" s="42"/>
      <c r="E75" s="482">
        <f>E74/('Planta MBBR'!E14*86.4*365)</f>
        <v>7.6583372267092109E-2</v>
      </c>
      <c r="F75" s="44" t="s">
        <v>250</v>
      </c>
      <c r="G75" s="505">
        <f>G74/('Planta MBBR'!G14*86.4*365)</f>
        <v>7.6583372267092109E-2</v>
      </c>
      <c r="H75" s="157">
        <f t="shared" si="4"/>
        <v>0</v>
      </c>
    </row>
    <row r="80" spans="1:8" ht="15.75" x14ac:dyDescent="0.25">
      <c r="C80" s="658" t="s">
        <v>410</v>
      </c>
      <c r="D80" s="659"/>
    </row>
    <row r="81" spans="3:6" x14ac:dyDescent="0.25">
      <c r="C81" s="654" t="s">
        <v>419</v>
      </c>
      <c r="D81" s="656"/>
      <c r="E81" s="653"/>
      <c r="F81" s="653"/>
    </row>
    <row r="82" spans="3:6" x14ac:dyDescent="0.25">
      <c r="C82" s="654" t="s">
        <v>420</v>
      </c>
      <c r="D82" s="656"/>
      <c r="E82" s="653"/>
      <c r="F82" s="653"/>
    </row>
    <row r="83" spans="3:6" x14ac:dyDescent="0.25">
      <c r="C83" s="654" t="s">
        <v>421</v>
      </c>
      <c r="D83" s="655"/>
      <c r="E83" s="655"/>
      <c r="F83" s="655"/>
    </row>
    <row r="84" spans="3:6" x14ac:dyDescent="0.25">
      <c r="C84" s="654" t="s">
        <v>422</v>
      </c>
      <c r="D84" s="656"/>
      <c r="E84" s="653"/>
      <c r="F84" s="653"/>
    </row>
    <row r="85" spans="3:6" x14ac:dyDescent="0.25">
      <c r="C85" s="654" t="s">
        <v>411</v>
      </c>
      <c r="D85" s="656"/>
      <c r="E85" s="653"/>
      <c r="F85" s="653"/>
    </row>
    <row r="86" spans="3:6" x14ac:dyDescent="0.25">
      <c r="C86" s="654" t="s">
        <v>423</v>
      </c>
      <c r="D86" s="653"/>
      <c r="E86" s="653"/>
      <c r="F86" s="653"/>
    </row>
    <row r="87" spans="3:6" x14ac:dyDescent="0.25">
      <c r="C87" s="654" t="s">
        <v>412</v>
      </c>
      <c r="D87" s="653"/>
      <c r="E87" s="653"/>
      <c r="F87" s="653"/>
    </row>
    <row r="88" spans="3:6" x14ac:dyDescent="0.25">
      <c r="C88" s="654" t="s">
        <v>424</v>
      </c>
      <c r="D88" s="653"/>
      <c r="E88" s="653"/>
      <c r="F88" s="653"/>
    </row>
    <row r="89" spans="3:6" x14ac:dyDescent="0.25">
      <c r="C89" s="654" t="s">
        <v>425</v>
      </c>
      <c r="D89" s="653"/>
      <c r="E89" s="653"/>
      <c r="F89" s="653"/>
    </row>
    <row r="90" spans="3:6" x14ac:dyDescent="0.25">
      <c r="C90" s="654" t="s">
        <v>426</v>
      </c>
      <c r="D90" s="653"/>
      <c r="E90" s="653"/>
      <c r="F90" s="653"/>
    </row>
    <row r="91" spans="3:6" x14ac:dyDescent="0.25">
      <c r="C91" s="654" t="s">
        <v>427</v>
      </c>
      <c r="D91" s="653"/>
      <c r="E91" s="653"/>
      <c r="F91" s="653"/>
    </row>
    <row r="92" spans="3:6" x14ac:dyDescent="0.25">
      <c r="C92" s="654" t="s">
        <v>413</v>
      </c>
      <c r="D92" s="655"/>
      <c r="E92" s="655"/>
      <c r="F92" s="655"/>
    </row>
    <row r="93" spans="3:6" x14ac:dyDescent="0.25">
      <c r="C93" s="649" t="s">
        <v>414</v>
      </c>
      <c r="D93" s="649"/>
      <c r="E93" s="649"/>
      <c r="F93" s="649"/>
    </row>
    <row r="94" spans="3:6" x14ac:dyDescent="0.25">
      <c r="C94" s="649" t="s">
        <v>415</v>
      </c>
      <c r="D94" s="652"/>
      <c r="E94" s="652"/>
      <c r="F94" s="652"/>
    </row>
    <row r="95" spans="3:6" x14ac:dyDescent="0.25">
      <c r="C95" s="649" t="s">
        <v>428</v>
      </c>
      <c r="D95" s="650"/>
      <c r="E95" s="651"/>
      <c r="F95" s="651"/>
    </row>
    <row r="96" spans="3:6" x14ac:dyDescent="0.25">
      <c r="C96" s="649" t="s">
        <v>429</v>
      </c>
      <c r="D96" s="650"/>
      <c r="E96" s="651"/>
      <c r="F96" s="651"/>
    </row>
    <row r="97" spans="3:6" x14ac:dyDescent="0.25">
      <c r="C97" s="649" t="s">
        <v>430</v>
      </c>
      <c r="D97" s="653"/>
      <c r="E97" s="653"/>
      <c r="F97" s="653"/>
    </row>
    <row r="98" spans="3:6" x14ac:dyDescent="0.25">
      <c r="C98" s="649" t="s">
        <v>416</v>
      </c>
      <c r="D98" s="651"/>
      <c r="E98" s="651"/>
      <c r="F98" s="651"/>
    </row>
    <row r="99" spans="3:6" x14ac:dyDescent="0.25">
      <c r="C99" s="649" t="s">
        <v>417</v>
      </c>
      <c r="D99" s="650"/>
      <c r="E99" s="651"/>
      <c r="F99" s="651"/>
    </row>
  </sheetData>
  <mergeCells count="21">
    <mergeCell ref="C65:C66"/>
    <mergeCell ref="C80:D80"/>
    <mergeCell ref="C81:F81"/>
    <mergeCell ref="C82:F82"/>
    <mergeCell ref="C83:F83"/>
    <mergeCell ref="C84:F84"/>
    <mergeCell ref="C85:F85"/>
    <mergeCell ref="C86:F86"/>
    <mergeCell ref="C87:F87"/>
    <mergeCell ref="C88:F88"/>
    <mergeCell ref="C89:F89"/>
    <mergeCell ref="C90:F90"/>
    <mergeCell ref="C91:F91"/>
    <mergeCell ref="C92:F92"/>
    <mergeCell ref="C93:F93"/>
    <mergeCell ref="C99:F99"/>
    <mergeCell ref="C94:F94"/>
    <mergeCell ref="C95:F95"/>
    <mergeCell ref="C96:F96"/>
    <mergeCell ref="C97:F97"/>
    <mergeCell ref="C98:F98"/>
  </mergeCells>
  <pageMargins left="0.7" right="0.7" top="0.75" bottom="0.75" header="0.3" footer="0.3"/>
  <pageSetup paperSize="9" orientation="portrait" horizontalDpi="0" verticalDpi="0" r:id="rId1"/>
  <ignoredErrors>
    <ignoredError sqref="E7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FEE9A-35E1-4816-81C1-8FA179565886}">
  <dimension ref="A1:N130"/>
  <sheetViews>
    <sheetView showGridLines="0" tabSelected="1" topLeftCell="C12" zoomScale="75" zoomScaleNormal="75" workbookViewId="0">
      <selection activeCell="I67" sqref="I67"/>
    </sheetView>
  </sheetViews>
  <sheetFormatPr baseColWidth="10" defaultRowHeight="14.25" x14ac:dyDescent="0.2"/>
  <cols>
    <col min="1" max="1" width="25.140625" style="9" customWidth="1"/>
    <col min="2" max="2" width="55.140625" style="47" customWidth="1"/>
    <col min="3" max="3" width="63" style="9" customWidth="1"/>
    <col min="4" max="4" width="16.140625" style="10" customWidth="1"/>
    <col min="5" max="5" width="11.5703125" style="48" customWidth="1"/>
    <col min="6" max="6" width="14.85546875" style="9" customWidth="1"/>
    <col min="7" max="8" width="15.42578125" style="9" customWidth="1"/>
    <col min="9" max="9" width="16.7109375" style="9" customWidth="1"/>
    <col min="10" max="10" width="17.7109375" style="9" customWidth="1"/>
    <col min="11" max="11" width="17.140625" style="9" customWidth="1"/>
    <col min="12" max="12" width="16.140625" style="9" customWidth="1"/>
    <col min="13" max="13" width="19.42578125" style="9" customWidth="1"/>
    <col min="14" max="258" width="11.42578125" style="9"/>
    <col min="259" max="259" width="7.28515625" style="9" customWidth="1"/>
    <col min="260" max="260" width="37.7109375" style="9" customWidth="1"/>
    <col min="261" max="261" width="17.85546875" style="9" customWidth="1"/>
    <col min="262" max="262" width="12.28515625" style="9" bestFit="1" customWidth="1"/>
    <col min="263" max="263" width="11.42578125" style="9"/>
    <col min="264" max="264" width="24.140625" style="9" customWidth="1"/>
    <col min="265" max="266" width="11.42578125" style="9"/>
    <col min="267" max="267" width="17.140625" style="9" customWidth="1"/>
    <col min="268" max="268" width="11.42578125" style="9"/>
    <col min="269" max="269" width="30.28515625" style="9" customWidth="1"/>
    <col min="270" max="514" width="11.42578125" style="9"/>
    <col min="515" max="515" width="7.28515625" style="9" customWidth="1"/>
    <col min="516" max="516" width="37.7109375" style="9" customWidth="1"/>
    <col min="517" max="517" width="17.85546875" style="9" customWidth="1"/>
    <col min="518" max="518" width="12.28515625" style="9" bestFit="1" customWidth="1"/>
    <col min="519" max="519" width="11.42578125" style="9"/>
    <col min="520" max="520" width="24.140625" style="9" customWidth="1"/>
    <col min="521" max="522" width="11.42578125" style="9"/>
    <col min="523" max="523" width="17.140625" style="9" customWidth="1"/>
    <col min="524" max="524" width="11.42578125" style="9"/>
    <col min="525" max="525" width="30.28515625" style="9" customWidth="1"/>
    <col min="526" max="770" width="11.42578125" style="9"/>
    <col min="771" max="771" width="7.28515625" style="9" customWidth="1"/>
    <col min="772" max="772" width="37.7109375" style="9" customWidth="1"/>
    <col min="773" max="773" width="17.85546875" style="9" customWidth="1"/>
    <col min="774" max="774" width="12.28515625" style="9" bestFit="1" customWidth="1"/>
    <col min="775" max="775" width="11.42578125" style="9"/>
    <col min="776" max="776" width="24.140625" style="9" customWidth="1"/>
    <col min="777" max="778" width="11.42578125" style="9"/>
    <col min="779" max="779" width="17.140625" style="9" customWidth="1"/>
    <col min="780" max="780" width="11.42578125" style="9"/>
    <col min="781" max="781" width="30.28515625" style="9" customWidth="1"/>
    <col min="782" max="1026" width="11.42578125" style="9"/>
    <col min="1027" max="1027" width="7.28515625" style="9" customWidth="1"/>
    <col min="1028" max="1028" width="37.7109375" style="9" customWidth="1"/>
    <col min="1029" max="1029" width="17.85546875" style="9" customWidth="1"/>
    <col min="1030" max="1030" width="12.28515625" style="9" bestFit="1" customWidth="1"/>
    <col min="1031" max="1031" width="11.42578125" style="9"/>
    <col min="1032" max="1032" width="24.140625" style="9" customWidth="1"/>
    <col min="1033" max="1034" width="11.42578125" style="9"/>
    <col min="1035" max="1035" width="17.140625" style="9" customWidth="1"/>
    <col min="1036" max="1036" width="11.42578125" style="9"/>
    <col min="1037" max="1037" width="30.28515625" style="9" customWidth="1"/>
    <col min="1038" max="1282" width="11.42578125" style="9"/>
    <col min="1283" max="1283" width="7.28515625" style="9" customWidth="1"/>
    <col min="1284" max="1284" width="37.7109375" style="9" customWidth="1"/>
    <col min="1285" max="1285" width="17.85546875" style="9" customWidth="1"/>
    <col min="1286" max="1286" width="12.28515625" style="9" bestFit="1" customWidth="1"/>
    <col min="1287" max="1287" width="11.42578125" style="9"/>
    <col min="1288" max="1288" width="24.140625" style="9" customWidth="1"/>
    <col min="1289" max="1290" width="11.42578125" style="9"/>
    <col min="1291" max="1291" width="17.140625" style="9" customWidth="1"/>
    <col min="1292" max="1292" width="11.42578125" style="9"/>
    <col min="1293" max="1293" width="30.28515625" style="9" customWidth="1"/>
    <col min="1294" max="1538" width="11.42578125" style="9"/>
    <col min="1539" max="1539" width="7.28515625" style="9" customWidth="1"/>
    <col min="1540" max="1540" width="37.7109375" style="9" customWidth="1"/>
    <col min="1541" max="1541" width="17.85546875" style="9" customWidth="1"/>
    <col min="1542" max="1542" width="12.28515625" style="9" bestFit="1" customWidth="1"/>
    <col min="1543" max="1543" width="11.42578125" style="9"/>
    <col min="1544" max="1544" width="24.140625" style="9" customWidth="1"/>
    <col min="1545" max="1546" width="11.42578125" style="9"/>
    <col min="1547" max="1547" width="17.140625" style="9" customWidth="1"/>
    <col min="1548" max="1548" width="11.42578125" style="9"/>
    <col min="1549" max="1549" width="30.28515625" style="9" customWidth="1"/>
    <col min="1550" max="1794" width="11.42578125" style="9"/>
    <col min="1795" max="1795" width="7.28515625" style="9" customWidth="1"/>
    <col min="1796" max="1796" width="37.7109375" style="9" customWidth="1"/>
    <col min="1797" max="1797" width="17.85546875" style="9" customWidth="1"/>
    <col min="1798" max="1798" width="12.28515625" style="9" bestFit="1" customWidth="1"/>
    <col min="1799" max="1799" width="11.42578125" style="9"/>
    <col min="1800" max="1800" width="24.140625" style="9" customWidth="1"/>
    <col min="1801" max="1802" width="11.42578125" style="9"/>
    <col min="1803" max="1803" width="17.140625" style="9" customWidth="1"/>
    <col min="1804" max="1804" width="11.42578125" style="9"/>
    <col min="1805" max="1805" width="30.28515625" style="9" customWidth="1"/>
    <col min="1806" max="2050" width="11.42578125" style="9"/>
    <col min="2051" max="2051" width="7.28515625" style="9" customWidth="1"/>
    <col min="2052" max="2052" width="37.7109375" style="9" customWidth="1"/>
    <col min="2053" max="2053" width="17.85546875" style="9" customWidth="1"/>
    <col min="2054" max="2054" width="12.28515625" style="9" bestFit="1" customWidth="1"/>
    <col min="2055" max="2055" width="11.42578125" style="9"/>
    <col min="2056" max="2056" width="24.140625" style="9" customWidth="1"/>
    <col min="2057" max="2058" width="11.42578125" style="9"/>
    <col min="2059" max="2059" width="17.140625" style="9" customWidth="1"/>
    <col min="2060" max="2060" width="11.42578125" style="9"/>
    <col min="2061" max="2061" width="30.28515625" style="9" customWidth="1"/>
    <col min="2062" max="2306" width="11.42578125" style="9"/>
    <col min="2307" max="2307" width="7.28515625" style="9" customWidth="1"/>
    <col min="2308" max="2308" width="37.7109375" style="9" customWidth="1"/>
    <col min="2309" max="2309" width="17.85546875" style="9" customWidth="1"/>
    <col min="2310" max="2310" width="12.28515625" style="9" bestFit="1" customWidth="1"/>
    <col min="2311" max="2311" width="11.42578125" style="9"/>
    <col min="2312" max="2312" width="24.140625" style="9" customWidth="1"/>
    <col min="2313" max="2314" width="11.42578125" style="9"/>
    <col min="2315" max="2315" width="17.140625" style="9" customWidth="1"/>
    <col min="2316" max="2316" width="11.42578125" style="9"/>
    <col min="2317" max="2317" width="30.28515625" style="9" customWidth="1"/>
    <col min="2318" max="2562" width="11.42578125" style="9"/>
    <col min="2563" max="2563" width="7.28515625" style="9" customWidth="1"/>
    <col min="2564" max="2564" width="37.7109375" style="9" customWidth="1"/>
    <col min="2565" max="2565" width="17.85546875" style="9" customWidth="1"/>
    <col min="2566" max="2566" width="12.28515625" style="9" bestFit="1" customWidth="1"/>
    <col min="2567" max="2567" width="11.42578125" style="9"/>
    <col min="2568" max="2568" width="24.140625" style="9" customWidth="1"/>
    <col min="2569" max="2570" width="11.42578125" style="9"/>
    <col min="2571" max="2571" width="17.140625" style="9" customWidth="1"/>
    <col min="2572" max="2572" width="11.42578125" style="9"/>
    <col min="2573" max="2573" width="30.28515625" style="9" customWidth="1"/>
    <col min="2574" max="2818" width="11.42578125" style="9"/>
    <col min="2819" max="2819" width="7.28515625" style="9" customWidth="1"/>
    <col min="2820" max="2820" width="37.7109375" style="9" customWidth="1"/>
    <col min="2821" max="2821" width="17.85546875" style="9" customWidth="1"/>
    <col min="2822" max="2822" width="12.28515625" style="9" bestFit="1" customWidth="1"/>
    <col min="2823" max="2823" width="11.42578125" style="9"/>
    <col min="2824" max="2824" width="24.140625" style="9" customWidth="1"/>
    <col min="2825" max="2826" width="11.42578125" style="9"/>
    <col min="2827" max="2827" width="17.140625" style="9" customWidth="1"/>
    <col min="2828" max="2828" width="11.42578125" style="9"/>
    <col min="2829" max="2829" width="30.28515625" style="9" customWidth="1"/>
    <col min="2830" max="3074" width="11.42578125" style="9"/>
    <col min="3075" max="3075" width="7.28515625" style="9" customWidth="1"/>
    <col min="3076" max="3076" width="37.7109375" style="9" customWidth="1"/>
    <col min="3077" max="3077" width="17.85546875" style="9" customWidth="1"/>
    <col min="3078" max="3078" width="12.28515625" style="9" bestFit="1" customWidth="1"/>
    <col min="3079" max="3079" width="11.42578125" style="9"/>
    <col min="3080" max="3080" width="24.140625" style="9" customWidth="1"/>
    <col min="3081" max="3082" width="11.42578125" style="9"/>
    <col min="3083" max="3083" width="17.140625" style="9" customWidth="1"/>
    <col min="3084" max="3084" width="11.42578125" style="9"/>
    <col min="3085" max="3085" width="30.28515625" style="9" customWidth="1"/>
    <col min="3086" max="3330" width="11.42578125" style="9"/>
    <col min="3331" max="3331" width="7.28515625" style="9" customWidth="1"/>
    <col min="3332" max="3332" width="37.7109375" style="9" customWidth="1"/>
    <col min="3333" max="3333" width="17.85546875" style="9" customWidth="1"/>
    <col min="3334" max="3334" width="12.28515625" style="9" bestFit="1" customWidth="1"/>
    <col min="3335" max="3335" width="11.42578125" style="9"/>
    <col min="3336" max="3336" width="24.140625" style="9" customWidth="1"/>
    <col min="3337" max="3338" width="11.42578125" style="9"/>
    <col min="3339" max="3339" width="17.140625" style="9" customWidth="1"/>
    <col min="3340" max="3340" width="11.42578125" style="9"/>
    <col min="3341" max="3341" width="30.28515625" style="9" customWidth="1"/>
    <col min="3342" max="3586" width="11.42578125" style="9"/>
    <col min="3587" max="3587" width="7.28515625" style="9" customWidth="1"/>
    <col min="3588" max="3588" width="37.7109375" style="9" customWidth="1"/>
    <col min="3589" max="3589" width="17.85546875" style="9" customWidth="1"/>
    <col min="3590" max="3590" width="12.28515625" style="9" bestFit="1" customWidth="1"/>
    <col min="3591" max="3591" width="11.42578125" style="9"/>
    <col min="3592" max="3592" width="24.140625" style="9" customWidth="1"/>
    <col min="3593" max="3594" width="11.42578125" style="9"/>
    <col min="3595" max="3595" width="17.140625" style="9" customWidth="1"/>
    <col min="3596" max="3596" width="11.42578125" style="9"/>
    <col min="3597" max="3597" width="30.28515625" style="9" customWidth="1"/>
    <col min="3598" max="3842" width="11.42578125" style="9"/>
    <col min="3843" max="3843" width="7.28515625" style="9" customWidth="1"/>
    <col min="3844" max="3844" width="37.7109375" style="9" customWidth="1"/>
    <col min="3845" max="3845" width="17.85546875" style="9" customWidth="1"/>
    <col min="3846" max="3846" width="12.28515625" style="9" bestFit="1" customWidth="1"/>
    <col min="3847" max="3847" width="11.42578125" style="9"/>
    <col min="3848" max="3848" width="24.140625" style="9" customWidth="1"/>
    <col min="3849" max="3850" width="11.42578125" style="9"/>
    <col min="3851" max="3851" width="17.140625" style="9" customWidth="1"/>
    <col min="3852" max="3852" width="11.42578125" style="9"/>
    <col min="3853" max="3853" width="30.28515625" style="9" customWidth="1"/>
    <col min="3854" max="4098" width="11.42578125" style="9"/>
    <col min="4099" max="4099" width="7.28515625" style="9" customWidth="1"/>
    <col min="4100" max="4100" width="37.7109375" style="9" customWidth="1"/>
    <col min="4101" max="4101" width="17.85546875" style="9" customWidth="1"/>
    <col min="4102" max="4102" width="12.28515625" style="9" bestFit="1" customWidth="1"/>
    <col min="4103" max="4103" width="11.42578125" style="9"/>
    <col min="4104" max="4104" width="24.140625" style="9" customWidth="1"/>
    <col min="4105" max="4106" width="11.42578125" style="9"/>
    <col min="4107" max="4107" width="17.140625" style="9" customWidth="1"/>
    <col min="4108" max="4108" width="11.42578125" style="9"/>
    <col min="4109" max="4109" width="30.28515625" style="9" customWidth="1"/>
    <col min="4110" max="4354" width="11.42578125" style="9"/>
    <col min="4355" max="4355" width="7.28515625" style="9" customWidth="1"/>
    <col min="4356" max="4356" width="37.7109375" style="9" customWidth="1"/>
    <col min="4357" max="4357" width="17.85546875" style="9" customWidth="1"/>
    <col min="4358" max="4358" width="12.28515625" style="9" bestFit="1" customWidth="1"/>
    <col min="4359" max="4359" width="11.42578125" style="9"/>
    <col min="4360" max="4360" width="24.140625" style="9" customWidth="1"/>
    <col min="4361" max="4362" width="11.42578125" style="9"/>
    <col min="4363" max="4363" width="17.140625" style="9" customWidth="1"/>
    <col min="4364" max="4364" width="11.42578125" style="9"/>
    <col min="4365" max="4365" width="30.28515625" style="9" customWidth="1"/>
    <col min="4366" max="4610" width="11.42578125" style="9"/>
    <col min="4611" max="4611" width="7.28515625" style="9" customWidth="1"/>
    <col min="4612" max="4612" width="37.7109375" style="9" customWidth="1"/>
    <col min="4613" max="4613" width="17.85546875" style="9" customWidth="1"/>
    <col min="4614" max="4614" width="12.28515625" style="9" bestFit="1" customWidth="1"/>
    <col min="4615" max="4615" width="11.42578125" style="9"/>
    <col min="4616" max="4616" width="24.140625" style="9" customWidth="1"/>
    <col min="4617" max="4618" width="11.42578125" style="9"/>
    <col min="4619" max="4619" width="17.140625" style="9" customWidth="1"/>
    <col min="4620" max="4620" width="11.42578125" style="9"/>
    <col min="4621" max="4621" width="30.28515625" style="9" customWidth="1"/>
    <col min="4622" max="4866" width="11.42578125" style="9"/>
    <col min="4867" max="4867" width="7.28515625" style="9" customWidth="1"/>
    <col min="4868" max="4868" width="37.7109375" style="9" customWidth="1"/>
    <col min="4869" max="4869" width="17.85546875" style="9" customWidth="1"/>
    <col min="4870" max="4870" width="12.28515625" style="9" bestFit="1" customWidth="1"/>
    <col min="4871" max="4871" width="11.42578125" style="9"/>
    <col min="4872" max="4872" width="24.140625" style="9" customWidth="1"/>
    <col min="4873" max="4874" width="11.42578125" style="9"/>
    <col min="4875" max="4875" width="17.140625" style="9" customWidth="1"/>
    <col min="4876" max="4876" width="11.42578125" style="9"/>
    <col min="4877" max="4877" width="30.28515625" style="9" customWidth="1"/>
    <col min="4878" max="5122" width="11.42578125" style="9"/>
    <col min="5123" max="5123" width="7.28515625" style="9" customWidth="1"/>
    <col min="5124" max="5124" width="37.7109375" style="9" customWidth="1"/>
    <col min="5125" max="5125" width="17.85546875" style="9" customWidth="1"/>
    <col min="5126" max="5126" width="12.28515625" style="9" bestFit="1" customWidth="1"/>
    <col min="5127" max="5127" width="11.42578125" style="9"/>
    <col min="5128" max="5128" width="24.140625" style="9" customWidth="1"/>
    <col min="5129" max="5130" width="11.42578125" style="9"/>
    <col min="5131" max="5131" width="17.140625" style="9" customWidth="1"/>
    <col min="5132" max="5132" width="11.42578125" style="9"/>
    <col min="5133" max="5133" width="30.28515625" style="9" customWidth="1"/>
    <col min="5134" max="5378" width="11.42578125" style="9"/>
    <col min="5379" max="5379" width="7.28515625" style="9" customWidth="1"/>
    <col min="5380" max="5380" width="37.7109375" style="9" customWidth="1"/>
    <col min="5381" max="5381" width="17.85546875" style="9" customWidth="1"/>
    <col min="5382" max="5382" width="12.28515625" style="9" bestFit="1" customWidth="1"/>
    <col min="5383" max="5383" width="11.42578125" style="9"/>
    <col min="5384" max="5384" width="24.140625" style="9" customWidth="1"/>
    <col min="5385" max="5386" width="11.42578125" style="9"/>
    <col min="5387" max="5387" width="17.140625" style="9" customWidth="1"/>
    <col min="5388" max="5388" width="11.42578125" style="9"/>
    <col min="5389" max="5389" width="30.28515625" style="9" customWidth="1"/>
    <col min="5390" max="5634" width="11.42578125" style="9"/>
    <col min="5635" max="5635" width="7.28515625" style="9" customWidth="1"/>
    <col min="5636" max="5636" width="37.7109375" style="9" customWidth="1"/>
    <col min="5637" max="5637" width="17.85546875" style="9" customWidth="1"/>
    <col min="5638" max="5638" width="12.28515625" style="9" bestFit="1" customWidth="1"/>
    <col min="5639" max="5639" width="11.42578125" style="9"/>
    <col min="5640" max="5640" width="24.140625" style="9" customWidth="1"/>
    <col min="5641" max="5642" width="11.42578125" style="9"/>
    <col min="5643" max="5643" width="17.140625" style="9" customWidth="1"/>
    <col min="5644" max="5644" width="11.42578125" style="9"/>
    <col min="5645" max="5645" width="30.28515625" style="9" customWidth="1"/>
    <col min="5646" max="5890" width="11.42578125" style="9"/>
    <col min="5891" max="5891" width="7.28515625" style="9" customWidth="1"/>
    <col min="5892" max="5892" width="37.7109375" style="9" customWidth="1"/>
    <col min="5893" max="5893" width="17.85546875" style="9" customWidth="1"/>
    <col min="5894" max="5894" width="12.28515625" style="9" bestFit="1" customWidth="1"/>
    <col min="5895" max="5895" width="11.42578125" style="9"/>
    <col min="5896" max="5896" width="24.140625" style="9" customWidth="1"/>
    <col min="5897" max="5898" width="11.42578125" style="9"/>
    <col min="5899" max="5899" width="17.140625" style="9" customWidth="1"/>
    <col min="5900" max="5900" width="11.42578125" style="9"/>
    <col min="5901" max="5901" width="30.28515625" style="9" customWidth="1"/>
    <col min="5902" max="6146" width="11.42578125" style="9"/>
    <col min="6147" max="6147" width="7.28515625" style="9" customWidth="1"/>
    <col min="6148" max="6148" width="37.7109375" style="9" customWidth="1"/>
    <col min="6149" max="6149" width="17.85546875" style="9" customWidth="1"/>
    <col min="6150" max="6150" width="12.28515625" style="9" bestFit="1" customWidth="1"/>
    <col min="6151" max="6151" width="11.42578125" style="9"/>
    <col min="6152" max="6152" width="24.140625" style="9" customWidth="1"/>
    <col min="6153" max="6154" width="11.42578125" style="9"/>
    <col min="6155" max="6155" width="17.140625" style="9" customWidth="1"/>
    <col min="6156" max="6156" width="11.42578125" style="9"/>
    <col min="6157" max="6157" width="30.28515625" style="9" customWidth="1"/>
    <col min="6158" max="6402" width="11.42578125" style="9"/>
    <col min="6403" max="6403" width="7.28515625" style="9" customWidth="1"/>
    <col min="6404" max="6404" width="37.7109375" style="9" customWidth="1"/>
    <col min="6405" max="6405" width="17.85546875" style="9" customWidth="1"/>
    <col min="6406" max="6406" width="12.28515625" style="9" bestFit="1" customWidth="1"/>
    <col min="6407" max="6407" width="11.42578125" style="9"/>
    <col min="6408" max="6408" width="24.140625" style="9" customWidth="1"/>
    <col min="6409" max="6410" width="11.42578125" style="9"/>
    <col min="6411" max="6411" width="17.140625" style="9" customWidth="1"/>
    <col min="6412" max="6412" width="11.42578125" style="9"/>
    <col min="6413" max="6413" width="30.28515625" style="9" customWidth="1"/>
    <col min="6414" max="6658" width="11.42578125" style="9"/>
    <col min="6659" max="6659" width="7.28515625" style="9" customWidth="1"/>
    <col min="6660" max="6660" width="37.7109375" style="9" customWidth="1"/>
    <col min="6661" max="6661" width="17.85546875" style="9" customWidth="1"/>
    <col min="6662" max="6662" width="12.28515625" style="9" bestFit="1" customWidth="1"/>
    <col min="6663" max="6663" width="11.42578125" style="9"/>
    <col min="6664" max="6664" width="24.140625" style="9" customWidth="1"/>
    <col min="6665" max="6666" width="11.42578125" style="9"/>
    <col min="6667" max="6667" width="17.140625" style="9" customWidth="1"/>
    <col min="6668" max="6668" width="11.42578125" style="9"/>
    <col min="6669" max="6669" width="30.28515625" style="9" customWidth="1"/>
    <col min="6670" max="6914" width="11.42578125" style="9"/>
    <col min="6915" max="6915" width="7.28515625" style="9" customWidth="1"/>
    <col min="6916" max="6916" width="37.7109375" style="9" customWidth="1"/>
    <col min="6917" max="6917" width="17.85546875" style="9" customWidth="1"/>
    <col min="6918" max="6918" width="12.28515625" style="9" bestFit="1" customWidth="1"/>
    <col min="6919" max="6919" width="11.42578125" style="9"/>
    <col min="6920" max="6920" width="24.140625" style="9" customWidth="1"/>
    <col min="6921" max="6922" width="11.42578125" style="9"/>
    <col min="6923" max="6923" width="17.140625" style="9" customWidth="1"/>
    <col min="6924" max="6924" width="11.42578125" style="9"/>
    <col min="6925" max="6925" width="30.28515625" style="9" customWidth="1"/>
    <col min="6926" max="7170" width="11.42578125" style="9"/>
    <col min="7171" max="7171" width="7.28515625" style="9" customWidth="1"/>
    <col min="7172" max="7172" width="37.7109375" style="9" customWidth="1"/>
    <col min="7173" max="7173" width="17.85546875" style="9" customWidth="1"/>
    <col min="7174" max="7174" width="12.28515625" style="9" bestFit="1" customWidth="1"/>
    <col min="7175" max="7175" width="11.42578125" style="9"/>
    <col min="7176" max="7176" width="24.140625" style="9" customWidth="1"/>
    <col min="7177" max="7178" width="11.42578125" style="9"/>
    <col min="7179" max="7179" width="17.140625" style="9" customWidth="1"/>
    <col min="7180" max="7180" width="11.42578125" style="9"/>
    <col min="7181" max="7181" width="30.28515625" style="9" customWidth="1"/>
    <col min="7182" max="7426" width="11.42578125" style="9"/>
    <col min="7427" max="7427" width="7.28515625" style="9" customWidth="1"/>
    <col min="7428" max="7428" width="37.7109375" style="9" customWidth="1"/>
    <col min="7429" max="7429" width="17.85546875" style="9" customWidth="1"/>
    <col min="7430" max="7430" width="12.28515625" style="9" bestFit="1" customWidth="1"/>
    <col min="7431" max="7431" width="11.42578125" style="9"/>
    <col min="7432" max="7432" width="24.140625" style="9" customWidth="1"/>
    <col min="7433" max="7434" width="11.42578125" style="9"/>
    <col min="7435" max="7435" width="17.140625" style="9" customWidth="1"/>
    <col min="7436" max="7436" width="11.42578125" style="9"/>
    <col min="7437" max="7437" width="30.28515625" style="9" customWidth="1"/>
    <col min="7438" max="7682" width="11.42578125" style="9"/>
    <col min="7683" max="7683" width="7.28515625" style="9" customWidth="1"/>
    <col min="7684" max="7684" width="37.7109375" style="9" customWidth="1"/>
    <col min="7685" max="7685" width="17.85546875" style="9" customWidth="1"/>
    <col min="7686" max="7686" width="12.28515625" style="9" bestFit="1" customWidth="1"/>
    <col min="7687" max="7687" width="11.42578125" style="9"/>
    <col min="7688" max="7688" width="24.140625" style="9" customWidth="1"/>
    <col min="7689" max="7690" width="11.42578125" style="9"/>
    <col min="7691" max="7691" width="17.140625" style="9" customWidth="1"/>
    <col min="7692" max="7692" width="11.42578125" style="9"/>
    <col min="7693" max="7693" width="30.28515625" style="9" customWidth="1"/>
    <col min="7694" max="7938" width="11.42578125" style="9"/>
    <col min="7939" max="7939" width="7.28515625" style="9" customWidth="1"/>
    <col min="7940" max="7940" width="37.7109375" style="9" customWidth="1"/>
    <col min="7941" max="7941" width="17.85546875" style="9" customWidth="1"/>
    <col min="7942" max="7942" width="12.28515625" style="9" bestFit="1" customWidth="1"/>
    <col min="7943" max="7943" width="11.42578125" style="9"/>
    <col min="7944" max="7944" width="24.140625" style="9" customWidth="1"/>
    <col min="7945" max="7946" width="11.42578125" style="9"/>
    <col min="7947" max="7947" width="17.140625" style="9" customWidth="1"/>
    <col min="7948" max="7948" width="11.42578125" style="9"/>
    <col min="7949" max="7949" width="30.28515625" style="9" customWidth="1"/>
    <col min="7950" max="8194" width="11.42578125" style="9"/>
    <col min="8195" max="8195" width="7.28515625" style="9" customWidth="1"/>
    <col min="8196" max="8196" width="37.7109375" style="9" customWidth="1"/>
    <col min="8197" max="8197" width="17.85546875" style="9" customWidth="1"/>
    <col min="8198" max="8198" width="12.28515625" style="9" bestFit="1" customWidth="1"/>
    <col min="8199" max="8199" width="11.42578125" style="9"/>
    <col min="8200" max="8200" width="24.140625" style="9" customWidth="1"/>
    <col min="8201" max="8202" width="11.42578125" style="9"/>
    <col min="8203" max="8203" width="17.140625" style="9" customWidth="1"/>
    <col min="8204" max="8204" width="11.42578125" style="9"/>
    <col min="8205" max="8205" width="30.28515625" style="9" customWidth="1"/>
    <col min="8206" max="8450" width="11.42578125" style="9"/>
    <col min="8451" max="8451" width="7.28515625" style="9" customWidth="1"/>
    <col min="8452" max="8452" width="37.7109375" style="9" customWidth="1"/>
    <col min="8453" max="8453" width="17.85546875" style="9" customWidth="1"/>
    <col min="8454" max="8454" width="12.28515625" style="9" bestFit="1" customWidth="1"/>
    <col min="8455" max="8455" width="11.42578125" style="9"/>
    <col min="8456" max="8456" width="24.140625" style="9" customWidth="1"/>
    <col min="8457" max="8458" width="11.42578125" style="9"/>
    <col min="8459" max="8459" width="17.140625" style="9" customWidth="1"/>
    <col min="8460" max="8460" width="11.42578125" style="9"/>
    <col min="8461" max="8461" width="30.28515625" style="9" customWidth="1"/>
    <col min="8462" max="8706" width="11.42578125" style="9"/>
    <col min="8707" max="8707" width="7.28515625" style="9" customWidth="1"/>
    <col min="8708" max="8708" width="37.7109375" style="9" customWidth="1"/>
    <col min="8709" max="8709" width="17.85546875" style="9" customWidth="1"/>
    <col min="8710" max="8710" width="12.28515625" style="9" bestFit="1" customWidth="1"/>
    <col min="8711" max="8711" width="11.42578125" style="9"/>
    <col min="8712" max="8712" width="24.140625" style="9" customWidth="1"/>
    <col min="8713" max="8714" width="11.42578125" style="9"/>
    <col min="8715" max="8715" width="17.140625" style="9" customWidth="1"/>
    <col min="8716" max="8716" width="11.42578125" style="9"/>
    <col min="8717" max="8717" width="30.28515625" style="9" customWidth="1"/>
    <col min="8718" max="8962" width="11.42578125" style="9"/>
    <col min="8963" max="8963" width="7.28515625" style="9" customWidth="1"/>
    <col min="8964" max="8964" width="37.7109375" style="9" customWidth="1"/>
    <col min="8965" max="8965" width="17.85546875" style="9" customWidth="1"/>
    <col min="8966" max="8966" width="12.28515625" style="9" bestFit="1" customWidth="1"/>
    <col min="8967" max="8967" width="11.42578125" style="9"/>
    <col min="8968" max="8968" width="24.140625" style="9" customWidth="1"/>
    <col min="8969" max="8970" width="11.42578125" style="9"/>
    <col min="8971" max="8971" width="17.140625" style="9" customWidth="1"/>
    <col min="8972" max="8972" width="11.42578125" style="9"/>
    <col min="8973" max="8973" width="30.28515625" style="9" customWidth="1"/>
    <col min="8974" max="9218" width="11.42578125" style="9"/>
    <col min="9219" max="9219" width="7.28515625" style="9" customWidth="1"/>
    <col min="9220" max="9220" width="37.7109375" style="9" customWidth="1"/>
    <col min="9221" max="9221" width="17.85546875" style="9" customWidth="1"/>
    <col min="9222" max="9222" width="12.28515625" style="9" bestFit="1" customWidth="1"/>
    <col min="9223" max="9223" width="11.42578125" style="9"/>
    <col min="9224" max="9224" width="24.140625" style="9" customWidth="1"/>
    <col min="9225" max="9226" width="11.42578125" style="9"/>
    <col min="9227" max="9227" width="17.140625" style="9" customWidth="1"/>
    <col min="9228" max="9228" width="11.42578125" style="9"/>
    <col min="9229" max="9229" width="30.28515625" style="9" customWidth="1"/>
    <col min="9230" max="9474" width="11.42578125" style="9"/>
    <col min="9475" max="9475" width="7.28515625" style="9" customWidth="1"/>
    <col min="9476" max="9476" width="37.7109375" style="9" customWidth="1"/>
    <col min="9477" max="9477" width="17.85546875" style="9" customWidth="1"/>
    <col min="9478" max="9478" width="12.28515625" style="9" bestFit="1" customWidth="1"/>
    <col min="9479" max="9479" width="11.42578125" style="9"/>
    <col min="9480" max="9480" width="24.140625" style="9" customWidth="1"/>
    <col min="9481" max="9482" width="11.42578125" style="9"/>
    <col min="9483" max="9483" width="17.140625" style="9" customWidth="1"/>
    <col min="9484" max="9484" width="11.42578125" style="9"/>
    <col min="9485" max="9485" width="30.28515625" style="9" customWidth="1"/>
    <col min="9486" max="9730" width="11.42578125" style="9"/>
    <col min="9731" max="9731" width="7.28515625" style="9" customWidth="1"/>
    <col min="9732" max="9732" width="37.7109375" style="9" customWidth="1"/>
    <col min="9733" max="9733" width="17.85546875" style="9" customWidth="1"/>
    <col min="9734" max="9734" width="12.28515625" style="9" bestFit="1" customWidth="1"/>
    <col min="9735" max="9735" width="11.42578125" style="9"/>
    <col min="9736" max="9736" width="24.140625" style="9" customWidth="1"/>
    <col min="9737" max="9738" width="11.42578125" style="9"/>
    <col min="9739" max="9739" width="17.140625" style="9" customWidth="1"/>
    <col min="9740" max="9740" width="11.42578125" style="9"/>
    <col min="9741" max="9741" width="30.28515625" style="9" customWidth="1"/>
    <col min="9742" max="9986" width="11.42578125" style="9"/>
    <col min="9987" max="9987" width="7.28515625" style="9" customWidth="1"/>
    <col min="9988" max="9988" width="37.7109375" style="9" customWidth="1"/>
    <col min="9989" max="9989" width="17.85546875" style="9" customWidth="1"/>
    <col min="9990" max="9990" width="12.28515625" style="9" bestFit="1" customWidth="1"/>
    <col min="9991" max="9991" width="11.42578125" style="9"/>
    <col min="9992" max="9992" width="24.140625" style="9" customWidth="1"/>
    <col min="9993" max="9994" width="11.42578125" style="9"/>
    <col min="9995" max="9995" width="17.140625" style="9" customWidth="1"/>
    <col min="9996" max="9996" width="11.42578125" style="9"/>
    <col min="9997" max="9997" width="30.28515625" style="9" customWidth="1"/>
    <col min="9998" max="10242" width="11.42578125" style="9"/>
    <col min="10243" max="10243" width="7.28515625" style="9" customWidth="1"/>
    <col min="10244" max="10244" width="37.7109375" style="9" customWidth="1"/>
    <col min="10245" max="10245" width="17.85546875" style="9" customWidth="1"/>
    <col min="10246" max="10246" width="12.28515625" style="9" bestFit="1" customWidth="1"/>
    <col min="10247" max="10247" width="11.42578125" style="9"/>
    <col min="10248" max="10248" width="24.140625" style="9" customWidth="1"/>
    <col min="10249" max="10250" width="11.42578125" style="9"/>
    <col min="10251" max="10251" width="17.140625" style="9" customWidth="1"/>
    <col min="10252" max="10252" width="11.42578125" style="9"/>
    <col min="10253" max="10253" width="30.28515625" style="9" customWidth="1"/>
    <col min="10254" max="10498" width="11.42578125" style="9"/>
    <col min="10499" max="10499" width="7.28515625" style="9" customWidth="1"/>
    <col min="10500" max="10500" width="37.7109375" style="9" customWidth="1"/>
    <col min="10501" max="10501" width="17.85546875" style="9" customWidth="1"/>
    <col min="10502" max="10502" width="12.28515625" style="9" bestFit="1" customWidth="1"/>
    <col min="10503" max="10503" width="11.42578125" style="9"/>
    <col min="10504" max="10504" width="24.140625" style="9" customWidth="1"/>
    <col min="10505" max="10506" width="11.42578125" style="9"/>
    <col min="10507" max="10507" width="17.140625" style="9" customWidth="1"/>
    <col min="10508" max="10508" width="11.42578125" style="9"/>
    <col min="10509" max="10509" width="30.28515625" style="9" customWidth="1"/>
    <col min="10510" max="10754" width="11.42578125" style="9"/>
    <col min="10755" max="10755" width="7.28515625" style="9" customWidth="1"/>
    <col min="10756" max="10756" width="37.7109375" style="9" customWidth="1"/>
    <col min="10757" max="10757" width="17.85546875" style="9" customWidth="1"/>
    <col min="10758" max="10758" width="12.28515625" style="9" bestFit="1" customWidth="1"/>
    <col min="10759" max="10759" width="11.42578125" style="9"/>
    <col min="10760" max="10760" width="24.140625" style="9" customWidth="1"/>
    <col min="10761" max="10762" width="11.42578125" style="9"/>
    <col min="10763" max="10763" width="17.140625" style="9" customWidth="1"/>
    <col min="10764" max="10764" width="11.42578125" style="9"/>
    <col min="10765" max="10765" width="30.28515625" style="9" customWidth="1"/>
    <col min="10766" max="11010" width="11.42578125" style="9"/>
    <col min="11011" max="11011" width="7.28515625" style="9" customWidth="1"/>
    <col min="11012" max="11012" width="37.7109375" style="9" customWidth="1"/>
    <col min="11013" max="11013" width="17.85546875" style="9" customWidth="1"/>
    <col min="11014" max="11014" width="12.28515625" style="9" bestFit="1" customWidth="1"/>
    <col min="11015" max="11015" width="11.42578125" style="9"/>
    <col min="11016" max="11016" width="24.140625" style="9" customWidth="1"/>
    <col min="11017" max="11018" width="11.42578125" style="9"/>
    <col min="11019" max="11019" width="17.140625" style="9" customWidth="1"/>
    <col min="11020" max="11020" width="11.42578125" style="9"/>
    <col min="11021" max="11021" width="30.28515625" style="9" customWidth="1"/>
    <col min="11022" max="11266" width="11.42578125" style="9"/>
    <col min="11267" max="11267" width="7.28515625" style="9" customWidth="1"/>
    <col min="11268" max="11268" width="37.7109375" style="9" customWidth="1"/>
    <col min="11269" max="11269" width="17.85546875" style="9" customWidth="1"/>
    <col min="11270" max="11270" width="12.28515625" style="9" bestFit="1" customWidth="1"/>
    <col min="11271" max="11271" width="11.42578125" style="9"/>
    <col min="11272" max="11272" width="24.140625" style="9" customWidth="1"/>
    <col min="11273" max="11274" width="11.42578125" style="9"/>
    <col min="11275" max="11275" width="17.140625" style="9" customWidth="1"/>
    <col min="11276" max="11276" width="11.42578125" style="9"/>
    <col min="11277" max="11277" width="30.28515625" style="9" customWidth="1"/>
    <col min="11278" max="11522" width="11.42578125" style="9"/>
    <col min="11523" max="11523" width="7.28515625" style="9" customWidth="1"/>
    <col min="11524" max="11524" width="37.7109375" style="9" customWidth="1"/>
    <col min="11525" max="11525" width="17.85546875" style="9" customWidth="1"/>
    <col min="11526" max="11526" width="12.28515625" style="9" bestFit="1" customWidth="1"/>
    <col min="11527" max="11527" width="11.42578125" style="9"/>
    <col min="11528" max="11528" width="24.140625" style="9" customWidth="1"/>
    <col min="11529" max="11530" width="11.42578125" style="9"/>
    <col min="11531" max="11531" width="17.140625" style="9" customWidth="1"/>
    <col min="11532" max="11532" width="11.42578125" style="9"/>
    <col min="11533" max="11533" width="30.28515625" style="9" customWidth="1"/>
    <col min="11534" max="11778" width="11.42578125" style="9"/>
    <col min="11779" max="11779" width="7.28515625" style="9" customWidth="1"/>
    <col min="11780" max="11780" width="37.7109375" style="9" customWidth="1"/>
    <col min="11781" max="11781" width="17.85546875" style="9" customWidth="1"/>
    <col min="11782" max="11782" width="12.28515625" style="9" bestFit="1" customWidth="1"/>
    <col min="11783" max="11783" width="11.42578125" style="9"/>
    <col min="11784" max="11784" width="24.140625" style="9" customWidth="1"/>
    <col min="11785" max="11786" width="11.42578125" style="9"/>
    <col min="11787" max="11787" width="17.140625" style="9" customWidth="1"/>
    <col min="11788" max="11788" width="11.42578125" style="9"/>
    <col min="11789" max="11789" width="30.28515625" style="9" customWidth="1"/>
    <col min="11790" max="12034" width="11.42578125" style="9"/>
    <col min="12035" max="12035" width="7.28515625" style="9" customWidth="1"/>
    <col min="12036" max="12036" width="37.7109375" style="9" customWidth="1"/>
    <col min="12037" max="12037" width="17.85546875" style="9" customWidth="1"/>
    <col min="12038" max="12038" width="12.28515625" style="9" bestFit="1" customWidth="1"/>
    <col min="12039" max="12039" width="11.42578125" style="9"/>
    <col min="12040" max="12040" width="24.140625" style="9" customWidth="1"/>
    <col min="12041" max="12042" width="11.42578125" style="9"/>
    <col min="12043" max="12043" width="17.140625" style="9" customWidth="1"/>
    <col min="12044" max="12044" width="11.42578125" style="9"/>
    <col min="12045" max="12045" width="30.28515625" style="9" customWidth="1"/>
    <col min="12046" max="12290" width="11.42578125" style="9"/>
    <col min="12291" max="12291" width="7.28515625" style="9" customWidth="1"/>
    <col min="12292" max="12292" width="37.7109375" style="9" customWidth="1"/>
    <col min="12293" max="12293" width="17.85546875" style="9" customWidth="1"/>
    <col min="12294" max="12294" width="12.28515625" style="9" bestFit="1" customWidth="1"/>
    <col min="12295" max="12295" width="11.42578125" style="9"/>
    <col min="12296" max="12296" width="24.140625" style="9" customWidth="1"/>
    <col min="12297" max="12298" width="11.42578125" style="9"/>
    <col min="12299" max="12299" width="17.140625" style="9" customWidth="1"/>
    <col min="12300" max="12300" width="11.42578125" style="9"/>
    <col min="12301" max="12301" width="30.28515625" style="9" customWidth="1"/>
    <col min="12302" max="12546" width="11.42578125" style="9"/>
    <col min="12547" max="12547" width="7.28515625" style="9" customWidth="1"/>
    <col min="12548" max="12548" width="37.7109375" style="9" customWidth="1"/>
    <col min="12549" max="12549" width="17.85546875" style="9" customWidth="1"/>
    <col min="12550" max="12550" width="12.28515625" style="9" bestFit="1" customWidth="1"/>
    <col min="12551" max="12551" width="11.42578125" style="9"/>
    <col min="12552" max="12552" width="24.140625" style="9" customWidth="1"/>
    <col min="12553" max="12554" width="11.42578125" style="9"/>
    <col min="12555" max="12555" width="17.140625" style="9" customWidth="1"/>
    <col min="12556" max="12556" width="11.42578125" style="9"/>
    <col min="12557" max="12557" width="30.28515625" style="9" customWidth="1"/>
    <col min="12558" max="12802" width="11.42578125" style="9"/>
    <col min="12803" max="12803" width="7.28515625" style="9" customWidth="1"/>
    <col min="12804" max="12804" width="37.7109375" style="9" customWidth="1"/>
    <col min="12805" max="12805" width="17.85546875" style="9" customWidth="1"/>
    <col min="12806" max="12806" width="12.28515625" style="9" bestFit="1" customWidth="1"/>
    <col min="12807" max="12807" width="11.42578125" style="9"/>
    <col min="12808" max="12808" width="24.140625" style="9" customWidth="1"/>
    <col min="12809" max="12810" width="11.42578125" style="9"/>
    <col min="12811" max="12811" width="17.140625" style="9" customWidth="1"/>
    <col min="12812" max="12812" width="11.42578125" style="9"/>
    <col min="12813" max="12813" width="30.28515625" style="9" customWidth="1"/>
    <col min="12814" max="13058" width="11.42578125" style="9"/>
    <col min="13059" max="13059" width="7.28515625" style="9" customWidth="1"/>
    <col min="13060" max="13060" width="37.7109375" style="9" customWidth="1"/>
    <col min="13061" max="13061" width="17.85546875" style="9" customWidth="1"/>
    <col min="13062" max="13062" width="12.28515625" style="9" bestFit="1" customWidth="1"/>
    <col min="13063" max="13063" width="11.42578125" style="9"/>
    <col min="13064" max="13064" width="24.140625" style="9" customWidth="1"/>
    <col min="13065" max="13066" width="11.42578125" style="9"/>
    <col min="13067" max="13067" width="17.140625" style="9" customWidth="1"/>
    <col min="13068" max="13068" width="11.42578125" style="9"/>
    <col min="13069" max="13069" width="30.28515625" style="9" customWidth="1"/>
    <col min="13070" max="13314" width="11.42578125" style="9"/>
    <col min="13315" max="13315" width="7.28515625" style="9" customWidth="1"/>
    <col min="13316" max="13316" width="37.7109375" style="9" customWidth="1"/>
    <col min="13317" max="13317" width="17.85546875" style="9" customWidth="1"/>
    <col min="13318" max="13318" width="12.28515625" style="9" bestFit="1" customWidth="1"/>
    <col min="13319" max="13319" width="11.42578125" style="9"/>
    <col min="13320" max="13320" width="24.140625" style="9" customWidth="1"/>
    <col min="13321" max="13322" width="11.42578125" style="9"/>
    <col min="13323" max="13323" width="17.140625" style="9" customWidth="1"/>
    <col min="13324" max="13324" width="11.42578125" style="9"/>
    <col min="13325" max="13325" width="30.28515625" style="9" customWidth="1"/>
    <col min="13326" max="13570" width="11.42578125" style="9"/>
    <col min="13571" max="13571" width="7.28515625" style="9" customWidth="1"/>
    <col min="13572" max="13572" width="37.7109375" style="9" customWidth="1"/>
    <col min="13573" max="13573" width="17.85546875" style="9" customWidth="1"/>
    <col min="13574" max="13574" width="12.28515625" style="9" bestFit="1" customWidth="1"/>
    <col min="13575" max="13575" width="11.42578125" style="9"/>
    <col min="13576" max="13576" width="24.140625" style="9" customWidth="1"/>
    <col min="13577" max="13578" width="11.42578125" style="9"/>
    <col min="13579" max="13579" width="17.140625" style="9" customWidth="1"/>
    <col min="13580" max="13580" width="11.42578125" style="9"/>
    <col min="13581" max="13581" width="30.28515625" style="9" customWidth="1"/>
    <col min="13582" max="13826" width="11.42578125" style="9"/>
    <col min="13827" max="13827" width="7.28515625" style="9" customWidth="1"/>
    <col min="13828" max="13828" width="37.7109375" style="9" customWidth="1"/>
    <col min="13829" max="13829" width="17.85546875" style="9" customWidth="1"/>
    <col min="13830" max="13830" width="12.28515625" style="9" bestFit="1" customWidth="1"/>
    <col min="13831" max="13831" width="11.42578125" style="9"/>
    <col min="13832" max="13832" width="24.140625" style="9" customWidth="1"/>
    <col min="13833" max="13834" width="11.42578125" style="9"/>
    <col min="13835" max="13835" width="17.140625" style="9" customWidth="1"/>
    <col min="13836" max="13836" width="11.42578125" style="9"/>
    <col min="13837" max="13837" width="30.28515625" style="9" customWidth="1"/>
    <col min="13838" max="14082" width="11.42578125" style="9"/>
    <col min="14083" max="14083" width="7.28515625" style="9" customWidth="1"/>
    <col min="14084" max="14084" width="37.7109375" style="9" customWidth="1"/>
    <col min="14085" max="14085" width="17.85546875" style="9" customWidth="1"/>
    <col min="14086" max="14086" width="12.28515625" style="9" bestFit="1" customWidth="1"/>
    <col min="14087" max="14087" width="11.42578125" style="9"/>
    <col min="14088" max="14088" width="24.140625" style="9" customWidth="1"/>
    <col min="14089" max="14090" width="11.42578125" style="9"/>
    <col min="14091" max="14091" width="17.140625" style="9" customWidth="1"/>
    <col min="14092" max="14092" width="11.42578125" style="9"/>
    <col min="14093" max="14093" width="30.28515625" style="9" customWidth="1"/>
    <col min="14094" max="14338" width="11.42578125" style="9"/>
    <col min="14339" max="14339" width="7.28515625" style="9" customWidth="1"/>
    <col min="14340" max="14340" width="37.7109375" style="9" customWidth="1"/>
    <col min="14341" max="14341" width="17.85546875" style="9" customWidth="1"/>
    <col min="14342" max="14342" width="12.28515625" style="9" bestFit="1" customWidth="1"/>
    <col min="14343" max="14343" width="11.42578125" style="9"/>
    <col min="14344" max="14344" width="24.140625" style="9" customWidth="1"/>
    <col min="14345" max="14346" width="11.42578125" style="9"/>
    <col min="14347" max="14347" width="17.140625" style="9" customWidth="1"/>
    <col min="14348" max="14348" width="11.42578125" style="9"/>
    <col min="14349" max="14349" width="30.28515625" style="9" customWidth="1"/>
    <col min="14350" max="14594" width="11.42578125" style="9"/>
    <col min="14595" max="14595" width="7.28515625" style="9" customWidth="1"/>
    <col min="14596" max="14596" width="37.7109375" style="9" customWidth="1"/>
    <col min="14597" max="14597" width="17.85546875" style="9" customWidth="1"/>
    <col min="14598" max="14598" width="12.28515625" style="9" bestFit="1" customWidth="1"/>
    <col min="14599" max="14599" width="11.42578125" style="9"/>
    <col min="14600" max="14600" width="24.140625" style="9" customWidth="1"/>
    <col min="14601" max="14602" width="11.42578125" style="9"/>
    <col min="14603" max="14603" width="17.140625" style="9" customWidth="1"/>
    <col min="14604" max="14604" width="11.42578125" style="9"/>
    <col min="14605" max="14605" width="30.28515625" style="9" customWidth="1"/>
    <col min="14606" max="14850" width="11.42578125" style="9"/>
    <col min="14851" max="14851" width="7.28515625" style="9" customWidth="1"/>
    <col min="14852" max="14852" width="37.7109375" style="9" customWidth="1"/>
    <col min="14853" max="14853" width="17.85546875" style="9" customWidth="1"/>
    <col min="14854" max="14854" width="12.28515625" style="9" bestFit="1" customWidth="1"/>
    <col min="14855" max="14855" width="11.42578125" style="9"/>
    <col min="14856" max="14856" width="24.140625" style="9" customWidth="1"/>
    <col min="14857" max="14858" width="11.42578125" style="9"/>
    <col min="14859" max="14859" width="17.140625" style="9" customWidth="1"/>
    <col min="14860" max="14860" width="11.42578125" style="9"/>
    <col min="14861" max="14861" width="30.28515625" style="9" customWidth="1"/>
    <col min="14862" max="15106" width="11.42578125" style="9"/>
    <col min="15107" max="15107" width="7.28515625" style="9" customWidth="1"/>
    <col min="15108" max="15108" width="37.7109375" style="9" customWidth="1"/>
    <col min="15109" max="15109" width="17.85546875" style="9" customWidth="1"/>
    <col min="15110" max="15110" width="12.28515625" style="9" bestFit="1" customWidth="1"/>
    <col min="15111" max="15111" width="11.42578125" style="9"/>
    <col min="15112" max="15112" width="24.140625" style="9" customWidth="1"/>
    <col min="15113" max="15114" width="11.42578125" style="9"/>
    <col min="15115" max="15115" width="17.140625" style="9" customWidth="1"/>
    <col min="15116" max="15116" width="11.42578125" style="9"/>
    <col min="15117" max="15117" width="30.28515625" style="9" customWidth="1"/>
    <col min="15118" max="15362" width="11.42578125" style="9"/>
    <col min="15363" max="15363" width="7.28515625" style="9" customWidth="1"/>
    <col min="15364" max="15364" width="37.7109375" style="9" customWidth="1"/>
    <col min="15365" max="15365" width="17.85546875" style="9" customWidth="1"/>
    <col min="15366" max="15366" width="12.28515625" style="9" bestFit="1" customWidth="1"/>
    <col min="15367" max="15367" width="11.42578125" style="9"/>
    <col min="15368" max="15368" width="24.140625" style="9" customWidth="1"/>
    <col min="15369" max="15370" width="11.42578125" style="9"/>
    <col min="15371" max="15371" width="17.140625" style="9" customWidth="1"/>
    <col min="15372" max="15372" width="11.42578125" style="9"/>
    <col min="15373" max="15373" width="30.28515625" style="9" customWidth="1"/>
    <col min="15374" max="15618" width="11.42578125" style="9"/>
    <col min="15619" max="15619" width="7.28515625" style="9" customWidth="1"/>
    <col min="15620" max="15620" width="37.7109375" style="9" customWidth="1"/>
    <col min="15621" max="15621" width="17.85546875" style="9" customWidth="1"/>
    <col min="15622" max="15622" width="12.28515625" style="9" bestFit="1" customWidth="1"/>
    <col min="15623" max="15623" width="11.42578125" style="9"/>
    <col min="15624" max="15624" width="24.140625" style="9" customWidth="1"/>
    <col min="15625" max="15626" width="11.42578125" style="9"/>
    <col min="15627" max="15627" width="17.140625" style="9" customWidth="1"/>
    <col min="15628" max="15628" width="11.42578125" style="9"/>
    <col min="15629" max="15629" width="30.28515625" style="9" customWidth="1"/>
    <col min="15630" max="15874" width="11.42578125" style="9"/>
    <col min="15875" max="15875" width="7.28515625" style="9" customWidth="1"/>
    <col min="15876" max="15876" width="37.7109375" style="9" customWidth="1"/>
    <col min="15877" max="15877" width="17.85546875" style="9" customWidth="1"/>
    <col min="15878" max="15878" width="12.28515625" style="9" bestFit="1" customWidth="1"/>
    <col min="15879" max="15879" width="11.42578125" style="9"/>
    <col min="15880" max="15880" width="24.140625" style="9" customWidth="1"/>
    <col min="15881" max="15882" width="11.42578125" style="9"/>
    <col min="15883" max="15883" width="17.140625" style="9" customWidth="1"/>
    <col min="15884" max="15884" width="11.42578125" style="9"/>
    <col min="15885" max="15885" width="30.28515625" style="9" customWidth="1"/>
    <col min="15886" max="16130" width="11.42578125" style="9"/>
    <col min="16131" max="16131" width="7.28515625" style="9" customWidth="1"/>
    <col min="16132" max="16132" width="37.7109375" style="9" customWidth="1"/>
    <col min="16133" max="16133" width="17.85546875" style="9" customWidth="1"/>
    <col min="16134" max="16134" width="12.28515625" style="9" bestFit="1" customWidth="1"/>
    <col min="16135" max="16135" width="11.42578125" style="9"/>
    <col min="16136" max="16136" width="24.140625" style="9" customWidth="1"/>
    <col min="16137" max="16138" width="11.42578125" style="9"/>
    <col min="16139" max="16139" width="17.140625" style="9" customWidth="1"/>
    <col min="16140" max="16140" width="11.42578125" style="9"/>
    <col min="16141" max="16141" width="30.28515625" style="9" customWidth="1"/>
    <col min="16142" max="16384" width="11.42578125" style="9"/>
  </cols>
  <sheetData>
    <row r="1" spans="1:14" ht="15.75" x14ac:dyDescent="0.25">
      <c r="B1" s="87"/>
      <c r="C1" s="159" t="s">
        <v>109</v>
      </c>
      <c r="D1" s="160"/>
      <c r="E1" s="83"/>
      <c r="F1"/>
      <c r="G1"/>
      <c r="H1"/>
      <c r="I1"/>
    </row>
    <row r="2" spans="1:14" ht="15" x14ac:dyDescent="0.25">
      <c r="B2" s="87"/>
      <c r="C2" s="581" t="s">
        <v>380</v>
      </c>
      <c r="D2" s="160"/>
      <c r="E2" s="83"/>
      <c r="F2"/>
      <c r="G2"/>
      <c r="H2"/>
      <c r="I2"/>
    </row>
    <row r="3" spans="1:14" ht="15" x14ac:dyDescent="0.25">
      <c r="B3" s="87"/>
      <c r="C3" s="566" t="s">
        <v>77</v>
      </c>
      <c r="D3" s="161"/>
      <c r="E3" s="83"/>
      <c r="F3"/>
      <c r="G3"/>
      <c r="H3"/>
      <c r="I3"/>
    </row>
    <row r="4" spans="1:14" ht="15" x14ac:dyDescent="0.25">
      <c r="B4" s="87"/>
      <c r="C4" s="567" t="s">
        <v>136</v>
      </c>
      <c r="D4" s="161"/>
      <c r="E4" s="83"/>
      <c r="F4"/>
      <c r="G4"/>
      <c r="H4"/>
      <c r="I4"/>
    </row>
    <row r="5" spans="1:14" ht="15" x14ac:dyDescent="0.25">
      <c r="B5" s="87"/>
      <c r="C5" s="568" t="s">
        <v>189</v>
      </c>
      <c r="D5" s="83"/>
      <c r="E5" s="83"/>
      <c r="F5"/>
      <c r="G5"/>
      <c r="H5"/>
      <c r="I5"/>
    </row>
    <row r="6" spans="1:14" ht="15" x14ac:dyDescent="0.25">
      <c r="B6" s="87"/>
      <c r="C6" s="569" t="s">
        <v>381</v>
      </c>
      <c r="D6" s="88"/>
      <c r="E6" s="83"/>
      <c r="F6"/>
      <c r="G6"/>
      <c r="H6"/>
      <c r="I6"/>
    </row>
    <row r="7" spans="1:14" ht="15" x14ac:dyDescent="0.25">
      <c r="B7" s="87"/>
      <c r="C7" s="570" t="s">
        <v>190</v>
      </c>
      <c r="D7" s="28"/>
      <c r="E7" s="83"/>
      <c r="F7"/>
      <c r="G7"/>
      <c r="H7"/>
      <c r="I7"/>
    </row>
    <row r="8" spans="1:14" ht="15" x14ac:dyDescent="0.25">
      <c r="B8" s="87"/>
      <c r="C8" s="571" t="s">
        <v>57</v>
      </c>
      <c r="D8" s="161"/>
      <c r="E8" s="83"/>
      <c r="F8"/>
      <c r="G8"/>
      <c r="H8"/>
      <c r="I8"/>
    </row>
    <row r="9" spans="1:14" ht="15" x14ac:dyDescent="0.25">
      <c r="B9" s="87"/>
      <c r="C9" s="572" t="s">
        <v>137</v>
      </c>
      <c r="D9" s="161"/>
      <c r="E9" s="161"/>
      <c r="F9"/>
      <c r="G9"/>
      <c r="H9"/>
      <c r="I9"/>
    </row>
    <row r="10" spans="1:14" ht="15" x14ac:dyDescent="0.25">
      <c r="B10" s="87"/>
      <c r="C10" s="573" t="s">
        <v>191</v>
      </c>
      <c r="D10" s="83"/>
      <c r="E10" s="83"/>
      <c r="F10"/>
      <c r="G10"/>
      <c r="H10"/>
      <c r="I10"/>
    </row>
    <row r="11" spans="1:14" ht="31.5" x14ac:dyDescent="0.25">
      <c r="A11" s="393" t="s">
        <v>441</v>
      </c>
      <c r="B11" s="582" t="s">
        <v>138</v>
      </c>
      <c r="C11" s="90"/>
      <c r="D11" s="2"/>
      <c r="E11" s="2"/>
      <c r="F11" s="15"/>
      <c r="G11" s="393" t="s">
        <v>139</v>
      </c>
      <c r="H11" s="394" t="s">
        <v>140</v>
      </c>
      <c r="I11" s="89"/>
    </row>
    <row r="12" spans="1:14" ht="22.5" customHeight="1" x14ac:dyDescent="0.25">
      <c r="A12" s="64"/>
      <c r="B12" s="595"/>
      <c r="C12" s="597" t="s">
        <v>445</v>
      </c>
      <c r="D12" s="6"/>
      <c r="E12" s="54"/>
      <c r="F12" s="5"/>
      <c r="G12" s="64"/>
      <c r="H12" s="432"/>
      <c r="I12" s="64"/>
      <c r="J12" s="64"/>
      <c r="K12" s="64"/>
      <c r="L12" s="64"/>
      <c r="M12" s="64"/>
      <c r="N12" s="64"/>
    </row>
    <row r="13" spans="1:14" ht="15.75" x14ac:dyDescent="0.25">
      <c r="A13" s="64"/>
      <c r="B13" s="596"/>
      <c r="C13" s="431" t="s">
        <v>496</v>
      </c>
      <c r="D13" s="6"/>
      <c r="E13" s="54"/>
      <c r="F13" s="5"/>
      <c r="G13" s="64"/>
      <c r="H13" s="433"/>
      <c r="I13" s="64"/>
      <c r="J13" s="64"/>
      <c r="K13" s="64"/>
      <c r="L13" s="64"/>
      <c r="M13" s="64"/>
      <c r="N13" s="64"/>
    </row>
    <row r="14" spans="1:14" ht="15" customHeight="1" x14ac:dyDescent="0.25">
      <c r="A14" s="592"/>
      <c r="B14" s="583"/>
      <c r="C14" s="62" t="s">
        <v>76</v>
      </c>
      <c r="D14" s="70"/>
      <c r="E14" s="480">
        <v>1.8</v>
      </c>
      <c r="F14" s="413" t="s">
        <v>0</v>
      </c>
      <c r="G14" s="439">
        <v>1.8</v>
      </c>
      <c r="H14" s="157">
        <f t="shared" ref="H14:H78" si="0">G14-E14</f>
        <v>0</v>
      </c>
      <c r="I14" s="64"/>
      <c r="J14" s="64"/>
      <c r="K14" s="64"/>
      <c r="L14" s="64"/>
      <c r="M14" s="64"/>
      <c r="N14" s="64"/>
    </row>
    <row r="15" spans="1:14" ht="15" customHeight="1" x14ac:dyDescent="0.25">
      <c r="A15" s="592"/>
      <c r="B15" s="584" t="s">
        <v>372</v>
      </c>
      <c r="C15" s="62" t="s">
        <v>74</v>
      </c>
      <c r="D15" s="70"/>
      <c r="E15" s="479">
        <v>220</v>
      </c>
      <c r="F15" s="413" t="s">
        <v>5</v>
      </c>
      <c r="G15" s="443">
        <v>220</v>
      </c>
      <c r="H15" s="157">
        <f t="shared" si="0"/>
        <v>0</v>
      </c>
      <c r="I15" s="64"/>
      <c r="J15" s="64"/>
      <c r="K15" s="64"/>
      <c r="L15" s="64"/>
      <c r="M15" s="64"/>
      <c r="N15" s="64"/>
    </row>
    <row r="16" spans="1:14" ht="15" customHeight="1" x14ac:dyDescent="0.25">
      <c r="A16" s="592"/>
      <c r="B16" s="585"/>
      <c r="C16" s="194" t="s">
        <v>113</v>
      </c>
      <c r="D16" s="213"/>
      <c r="E16" s="211">
        <f>0.001*E14*E15*86.4</f>
        <v>34.214400000000005</v>
      </c>
      <c r="F16" s="365" t="s">
        <v>114</v>
      </c>
      <c r="G16" s="439">
        <f>0.001*G14*G15*86.4</f>
        <v>34.214400000000005</v>
      </c>
      <c r="H16" s="157">
        <f t="shared" si="0"/>
        <v>0</v>
      </c>
      <c r="I16" s="64"/>
      <c r="J16" s="64"/>
      <c r="K16" s="64"/>
      <c r="L16" s="64"/>
      <c r="M16" s="64"/>
      <c r="N16" s="64"/>
    </row>
    <row r="17" spans="1:14" ht="15" customHeight="1" x14ac:dyDescent="0.25">
      <c r="A17" s="592"/>
      <c r="B17" s="584" t="s">
        <v>372</v>
      </c>
      <c r="C17" s="62" t="s">
        <v>40</v>
      </c>
      <c r="D17" s="70"/>
      <c r="E17" s="479">
        <v>40</v>
      </c>
      <c r="F17" s="413" t="s">
        <v>5</v>
      </c>
      <c r="G17" s="443">
        <v>40</v>
      </c>
      <c r="H17" s="157">
        <f t="shared" si="0"/>
        <v>0</v>
      </c>
      <c r="I17" s="64"/>
      <c r="J17" s="64"/>
      <c r="K17" s="64"/>
      <c r="L17" s="64"/>
      <c r="M17" s="64"/>
      <c r="N17" s="64"/>
    </row>
    <row r="18" spans="1:14" ht="15" customHeight="1" x14ac:dyDescent="0.25">
      <c r="A18" s="592"/>
      <c r="B18" s="586"/>
      <c r="C18" s="3" t="s">
        <v>115</v>
      </c>
      <c r="D18" s="39"/>
      <c r="E18" s="45">
        <f>0.001*E14*E17*86.4</f>
        <v>6.2208000000000014</v>
      </c>
      <c r="F18" s="4" t="s">
        <v>118</v>
      </c>
      <c r="G18" s="439">
        <f>0.001*G14*G17*86.4</f>
        <v>6.2208000000000014</v>
      </c>
      <c r="H18" s="157">
        <f t="shared" si="0"/>
        <v>0</v>
      </c>
      <c r="I18" s="64"/>
      <c r="J18" s="64"/>
      <c r="K18" s="64"/>
      <c r="L18" s="64"/>
      <c r="M18" s="64"/>
      <c r="N18" s="64"/>
    </row>
    <row r="19" spans="1:14" ht="15" customHeight="1" x14ac:dyDescent="0.25">
      <c r="A19" s="592"/>
      <c r="B19" s="586"/>
      <c r="C19" s="337" t="s">
        <v>27</v>
      </c>
      <c r="D19" s="316"/>
      <c r="E19" s="339">
        <v>0.9</v>
      </c>
      <c r="F19" s="414"/>
      <c r="G19" s="440">
        <v>0.9</v>
      </c>
      <c r="H19" s="157">
        <f t="shared" si="0"/>
        <v>0</v>
      </c>
      <c r="I19" s="64"/>
      <c r="J19" s="64"/>
      <c r="K19" s="64"/>
      <c r="L19" s="64"/>
      <c r="M19" s="64"/>
      <c r="N19" s="64"/>
    </row>
    <row r="20" spans="1:14" ht="15" customHeight="1" x14ac:dyDescent="0.25">
      <c r="A20" s="592"/>
      <c r="B20" s="586"/>
      <c r="C20" s="27" t="s">
        <v>495</v>
      </c>
      <c r="D20" s="259"/>
      <c r="E20" s="338">
        <f>1-E41</f>
        <v>0.92981818181818188</v>
      </c>
      <c r="F20" s="414"/>
      <c r="G20" s="435">
        <f>1-E41</f>
        <v>0.92981818181818188</v>
      </c>
      <c r="H20" s="157">
        <f t="shared" si="0"/>
        <v>0</v>
      </c>
      <c r="I20" s="64"/>
      <c r="J20" s="64"/>
      <c r="K20" s="64"/>
      <c r="L20" s="64"/>
      <c r="M20" s="64"/>
      <c r="N20" s="64"/>
    </row>
    <row r="21" spans="1:14" ht="15" customHeight="1" x14ac:dyDescent="0.25">
      <c r="A21" s="592"/>
      <c r="B21" s="586"/>
      <c r="C21" s="574" t="s">
        <v>387</v>
      </c>
      <c r="D21" s="18"/>
      <c r="E21" s="85"/>
      <c r="F21" s="61"/>
      <c r="G21" s="441"/>
      <c r="H21" s="411"/>
      <c r="I21" s="64"/>
      <c r="J21" s="64"/>
      <c r="K21" s="64"/>
      <c r="L21" s="64"/>
      <c r="M21" s="64"/>
      <c r="N21" s="64"/>
    </row>
    <row r="22" spans="1:14" ht="15" customHeight="1" x14ac:dyDescent="0.25">
      <c r="A22" s="592"/>
      <c r="B22" s="587" t="s">
        <v>221</v>
      </c>
      <c r="C22" s="362" t="s">
        <v>80</v>
      </c>
      <c r="D22" s="363"/>
      <c r="E22" s="466">
        <v>3.2</v>
      </c>
      <c r="F22" s="363" t="s">
        <v>4</v>
      </c>
      <c r="G22" s="438">
        <v>3.2</v>
      </c>
      <c r="H22" s="157">
        <f t="shared" si="0"/>
        <v>0</v>
      </c>
      <c r="I22" s="64"/>
      <c r="J22" s="64"/>
      <c r="K22" s="64"/>
      <c r="L22" s="64"/>
      <c r="M22" s="64"/>
      <c r="N22" s="64"/>
    </row>
    <row r="23" spans="1:14" ht="15" customHeight="1" x14ac:dyDescent="0.25">
      <c r="A23" s="592"/>
      <c r="B23" s="587" t="s">
        <v>221</v>
      </c>
      <c r="C23" s="362" t="s">
        <v>44</v>
      </c>
      <c r="D23" s="363"/>
      <c r="E23" s="466">
        <v>6</v>
      </c>
      <c r="F23" s="363" t="s">
        <v>4</v>
      </c>
      <c r="G23" s="438">
        <v>6</v>
      </c>
      <c r="H23" s="157">
        <f t="shared" si="0"/>
        <v>0</v>
      </c>
      <c r="I23" s="64"/>
      <c r="J23" s="64"/>
      <c r="K23" s="64"/>
      <c r="L23" s="64"/>
      <c r="M23" s="64"/>
      <c r="N23" s="64"/>
    </row>
    <row r="24" spans="1:14" ht="15" customHeight="1" x14ac:dyDescent="0.25">
      <c r="A24" s="592"/>
      <c r="B24" s="586"/>
      <c r="C24" s="3" t="s">
        <v>82</v>
      </c>
      <c r="D24" s="39"/>
      <c r="E24" s="158">
        <f>E22*E23</f>
        <v>19.200000000000003</v>
      </c>
      <c r="F24" s="415" t="s">
        <v>3</v>
      </c>
      <c r="G24" s="445">
        <f>G22*G23</f>
        <v>19.200000000000003</v>
      </c>
      <c r="H24" s="157">
        <f t="shared" si="0"/>
        <v>0</v>
      </c>
      <c r="I24" s="64"/>
      <c r="J24" s="64"/>
      <c r="K24" s="64"/>
      <c r="L24" s="64"/>
      <c r="M24" s="64"/>
      <c r="N24" s="64"/>
    </row>
    <row r="25" spans="1:14" ht="15" customHeight="1" x14ac:dyDescent="0.25">
      <c r="A25" s="592"/>
      <c r="B25" s="587" t="s">
        <v>221</v>
      </c>
      <c r="C25" s="22" t="s">
        <v>219</v>
      </c>
      <c r="D25" s="354"/>
      <c r="E25" s="467">
        <v>2.8</v>
      </c>
      <c r="F25" s="23" t="s">
        <v>4</v>
      </c>
      <c r="G25" s="445">
        <v>2.8</v>
      </c>
      <c r="H25" s="157">
        <f t="shared" si="0"/>
        <v>0</v>
      </c>
      <c r="I25" s="64"/>
      <c r="J25" s="64"/>
      <c r="K25" s="64"/>
      <c r="L25" s="64"/>
      <c r="M25" s="64"/>
      <c r="N25" s="64"/>
    </row>
    <row r="26" spans="1:14" ht="15" customHeight="1" x14ac:dyDescent="0.25">
      <c r="A26" s="592"/>
      <c r="B26" s="587" t="s">
        <v>221</v>
      </c>
      <c r="C26" s="22" t="s">
        <v>232</v>
      </c>
      <c r="D26" s="354"/>
      <c r="E26" s="468">
        <v>0.25</v>
      </c>
      <c r="F26" s="23"/>
      <c r="G26" s="461">
        <v>0.25</v>
      </c>
      <c r="H26" s="157">
        <f t="shared" si="0"/>
        <v>0</v>
      </c>
      <c r="I26" s="64"/>
      <c r="J26" s="64"/>
      <c r="K26" s="64"/>
      <c r="L26" s="64"/>
      <c r="M26" s="64"/>
      <c r="N26" s="64"/>
    </row>
    <row r="27" spans="1:14" ht="15" customHeight="1" x14ac:dyDescent="0.25">
      <c r="A27" s="592"/>
      <c r="B27" s="586"/>
      <c r="C27" s="3" t="s">
        <v>85</v>
      </c>
      <c r="D27" s="9"/>
      <c r="E27" s="469">
        <f>E26*86.4*E14/E24</f>
        <v>2.0249999999999999</v>
      </c>
      <c r="F27" s="4" t="s">
        <v>4</v>
      </c>
      <c r="G27" s="462">
        <f>G26*86.4*G14/G24</f>
        <v>2.0249999999999999</v>
      </c>
      <c r="H27" s="157">
        <f t="shared" si="0"/>
        <v>0</v>
      </c>
      <c r="I27" s="64"/>
      <c r="J27" s="64"/>
      <c r="K27" s="64"/>
      <c r="L27" s="64"/>
      <c r="M27" s="64"/>
      <c r="N27" s="64"/>
    </row>
    <row r="28" spans="1:14" ht="15" customHeight="1" x14ac:dyDescent="0.25">
      <c r="A28" s="592"/>
      <c r="B28" s="587" t="s">
        <v>221</v>
      </c>
      <c r="C28" s="20" t="s">
        <v>382</v>
      </c>
      <c r="D28" s="55"/>
      <c r="E28" s="470">
        <f>E25-E27/2</f>
        <v>1.7874999999999999</v>
      </c>
      <c r="F28" s="416" t="s">
        <v>4</v>
      </c>
      <c r="G28" s="445">
        <f>G25-G27/2</f>
        <v>1.7874999999999999</v>
      </c>
      <c r="H28" s="157">
        <f t="shared" si="0"/>
        <v>0</v>
      </c>
      <c r="N28" s="64"/>
    </row>
    <row r="29" spans="1:14" ht="15" customHeight="1" x14ac:dyDescent="0.25">
      <c r="A29" s="592"/>
      <c r="B29" s="586"/>
      <c r="C29" s="3" t="s">
        <v>83</v>
      </c>
      <c r="D29" s="39"/>
      <c r="E29" s="158">
        <f>2*E28*E24</f>
        <v>68.64</v>
      </c>
      <c r="F29" s="4" t="s">
        <v>2</v>
      </c>
      <c r="G29" s="445">
        <f>2*G28*G24</f>
        <v>68.64</v>
      </c>
      <c r="H29" s="157">
        <f t="shared" si="0"/>
        <v>0</v>
      </c>
      <c r="I29" s="64"/>
      <c r="J29" s="64"/>
      <c r="K29" s="64"/>
      <c r="L29" s="64"/>
      <c r="M29" s="64"/>
      <c r="N29" s="64"/>
    </row>
    <row r="30" spans="1:14" ht="15" customHeight="1" x14ac:dyDescent="0.25">
      <c r="A30" s="592"/>
      <c r="B30" s="586"/>
      <c r="C30" s="3" t="s">
        <v>84</v>
      </c>
      <c r="D30" s="39"/>
      <c r="E30" s="158">
        <f>E24*E28</f>
        <v>34.32</v>
      </c>
      <c r="F30" s="4" t="s">
        <v>2</v>
      </c>
      <c r="G30" s="445">
        <f>G24*G28</f>
        <v>34.32</v>
      </c>
      <c r="H30" s="157">
        <f t="shared" si="0"/>
        <v>0</v>
      </c>
      <c r="I30" s="64"/>
      <c r="J30" s="64"/>
      <c r="K30" s="64"/>
      <c r="L30" s="64"/>
      <c r="M30" s="64"/>
      <c r="N30" s="64"/>
    </row>
    <row r="31" spans="1:14" ht="15" customHeight="1" x14ac:dyDescent="0.25">
      <c r="A31" s="592"/>
      <c r="B31" s="585" t="s">
        <v>154</v>
      </c>
      <c r="C31" s="194" t="s">
        <v>129</v>
      </c>
      <c r="D31" s="210" t="str">
        <f>IF(E31&gt;5,"correcto","insuficiente")</f>
        <v>correcto</v>
      </c>
      <c r="E31" s="471">
        <f>E30/(0.001*E14*3600)</f>
        <v>5.2962962962962958</v>
      </c>
      <c r="F31" s="365" t="s">
        <v>7</v>
      </c>
      <c r="G31" s="445">
        <f>G30/(0.001*G14*3600)</f>
        <v>5.2962962962962958</v>
      </c>
      <c r="H31" s="157">
        <f t="shared" si="0"/>
        <v>0</v>
      </c>
      <c r="I31" s="64"/>
      <c r="J31" s="64"/>
      <c r="K31" s="64"/>
      <c r="L31" s="64"/>
      <c r="M31" s="64"/>
      <c r="N31" s="64"/>
    </row>
    <row r="32" spans="1:14" ht="15" customHeight="1" x14ac:dyDescent="0.25">
      <c r="A32" s="592"/>
      <c r="B32" s="585" t="s">
        <v>154</v>
      </c>
      <c r="C32" s="194" t="s">
        <v>274</v>
      </c>
      <c r="D32" s="210" t="str">
        <f>IF(E32&gt;1.45,"error","correcto")</f>
        <v>correcto</v>
      </c>
      <c r="E32" s="471">
        <f>E16/E30</f>
        <v>0.99692307692307702</v>
      </c>
      <c r="F32" s="365" t="s">
        <v>121</v>
      </c>
      <c r="G32" s="445">
        <f>G16/G30</f>
        <v>0.99692307692307702</v>
      </c>
      <c r="H32" s="157">
        <f t="shared" si="0"/>
        <v>0</v>
      </c>
      <c r="I32" s="64"/>
      <c r="J32" s="64"/>
      <c r="K32" s="64"/>
      <c r="L32" s="64"/>
      <c r="M32" s="64"/>
      <c r="N32" s="64"/>
    </row>
    <row r="33" spans="1:14" ht="15" customHeight="1" x14ac:dyDescent="0.25">
      <c r="A33" s="592"/>
      <c r="B33" s="585" t="s">
        <v>155</v>
      </c>
      <c r="C33" s="357" t="s">
        <v>120</v>
      </c>
      <c r="D33" s="210" t="str">
        <f>IF(E33&gt;16,"error","correcto")</f>
        <v>correcto</v>
      </c>
      <c r="E33" s="471">
        <f>3.6*E14/E24</f>
        <v>0.33749999999999997</v>
      </c>
      <c r="F33" s="365" t="s">
        <v>56</v>
      </c>
      <c r="G33" s="445">
        <f>3.6*G14/G24</f>
        <v>0.33749999999999997</v>
      </c>
      <c r="H33" s="157">
        <f t="shared" si="0"/>
        <v>0</v>
      </c>
      <c r="I33" s="64"/>
      <c r="J33" s="64"/>
      <c r="K33" s="64"/>
      <c r="L33" s="64"/>
      <c r="M33" s="64"/>
      <c r="N33" s="64"/>
    </row>
    <row r="34" spans="1:14" ht="15" customHeight="1" x14ac:dyDescent="0.4">
      <c r="A34" s="592"/>
      <c r="B34" s="587"/>
      <c r="C34" s="254" t="s">
        <v>133</v>
      </c>
      <c r="D34" s="575"/>
      <c r="E34" s="472">
        <f>E18*E19</f>
        <v>5.598720000000001</v>
      </c>
      <c r="F34" s="417" t="s">
        <v>390</v>
      </c>
      <c r="G34" s="463">
        <f>G18*G19</f>
        <v>5.598720000000001</v>
      </c>
      <c r="H34" s="157">
        <f t="shared" si="0"/>
        <v>0</v>
      </c>
      <c r="I34" s="64"/>
      <c r="J34" s="64"/>
      <c r="K34" s="64"/>
      <c r="L34" s="64"/>
      <c r="M34" s="64"/>
      <c r="N34" s="64"/>
    </row>
    <row r="35" spans="1:14" ht="15" customHeight="1" x14ac:dyDescent="0.35">
      <c r="A35" s="592"/>
      <c r="B35" s="585" t="s">
        <v>493</v>
      </c>
      <c r="C35" s="367" t="s">
        <v>111</v>
      </c>
      <c r="D35" s="217"/>
      <c r="E35" s="473">
        <v>1.71</v>
      </c>
      <c r="F35" s="226" t="s">
        <v>392</v>
      </c>
      <c r="G35" s="463">
        <v>1.71</v>
      </c>
      <c r="H35" s="157">
        <f t="shared" si="0"/>
        <v>0</v>
      </c>
      <c r="I35" s="64"/>
      <c r="J35" s="64"/>
      <c r="K35" s="64"/>
      <c r="L35" s="64"/>
      <c r="M35" s="64"/>
      <c r="N35" s="64"/>
    </row>
    <row r="36" spans="1:14" ht="15" customHeight="1" x14ac:dyDescent="0.25">
      <c r="A36" s="592"/>
      <c r="B36" s="583"/>
      <c r="C36" s="359" t="s">
        <v>391</v>
      </c>
      <c r="D36" s="360"/>
      <c r="E36" s="474">
        <f>E34*E35</f>
        <v>9.5738112000000015</v>
      </c>
      <c r="F36" s="213" t="s">
        <v>389</v>
      </c>
      <c r="G36" s="463">
        <f>G34*G35</f>
        <v>9.5738112000000015</v>
      </c>
      <c r="H36" s="157">
        <f t="shared" si="0"/>
        <v>0</v>
      </c>
      <c r="I36" s="64"/>
      <c r="J36" s="64"/>
      <c r="K36" s="64"/>
      <c r="L36" s="64"/>
      <c r="M36" s="64"/>
      <c r="N36" s="64"/>
    </row>
    <row r="37" spans="1:14" ht="15" customHeight="1" x14ac:dyDescent="0.25">
      <c r="A37" s="592"/>
      <c r="B37" s="585" t="s">
        <v>494</v>
      </c>
      <c r="C37" s="358" t="s">
        <v>385</v>
      </c>
      <c r="D37" s="356" t="s">
        <v>383</v>
      </c>
      <c r="E37" s="475">
        <v>0.65</v>
      </c>
      <c r="F37" s="418"/>
      <c r="G37" s="461">
        <v>0.65</v>
      </c>
      <c r="H37" s="157">
        <f t="shared" si="0"/>
        <v>0</v>
      </c>
      <c r="I37" s="64"/>
      <c r="J37" s="64"/>
      <c r="K37" s="64"/>
      <c r="L37" s="64"/>
      <c r="M37" s="64"/>
      <c r="N37" s="64"/>
    </row>
    <row r="38" spans="1:14" ht="15" customHeight="1" x14ac:dyDescent="0.25">
      <c r="A38" s="592"/>
      <c r="B38" s="583"/>
      <c r="C38" s="361" t="s">
        <v>384</v>
      </c>
      <c r="D38" s="626" t="s">
        <v>265</v>
      </c>
      <c r="E38" s="476">
        <f>E16*E37+E36</f>
        <v>31.813171200000006</v>
      </c>
      <c r="F38" s="39" t="s">
        <v>112</v>
      </c>
      <c r="G38" s="464">
        <f>G16*G37+G36</f>
        <v>31.813171200000006</v>
      </c>
      <c r="H38" s="157">
        <f t="shared" si="0"/>
        <v>0</v>
      </c>
      <c r="I38" s="64"/>
      <c r="J38" s="64"/>
      <c r="K38" s="64"/>
      <c r="L38" s="64"/>
      <c r="M38" s="64"/>
      <c r="N38" s="64"/>
    </row>
    <row r="39" spans="1:14" ht="15" customHeight="1" x14ac:dyDescent="0.25">
      <c r="A39" s="592"/>
      <c r="B39" s="583"/>
      <c r="C39" s="345" t="s">
        <v>497</v>
      </c>
      <c r="D39" s="630"/>
      <c r="E39" s="696">
        <v>0.9</v>
      </c>
      <c r="F39" s="23"/>
      <c r="G39" s="435">
        <v>0.9</v>
      </c>
      <c r="H39" s="157">
        <f>G39-E39</f>
        <v>0</v>
      </c>
      <c r="I39" s="64"/>
      <c r="J39" s="64"/>
      <c r="K39" s="64"/>
      <c r="L39" s="64"/>
      <c r="M39" s="64"/>
      <c r="N39" s="64"/>
    </row>
    <row r="40" spans="1:14" ht="30.75" customHeight="1" x14ac:dyDescent="0.25">
      <c r="A40" s="592"/>
      <c r="B40" s="583"/>
      <c r="C40" s="359" t="s">
        <v>386</v>
      </c>
      <c r="D40" s="629" t="str">
        <f>IF(E40&gt;E39,"no se requieren bioportadores","se requieren bioportadores")</f>
        <v>no se requieren bioportadores</v>
      </c>
      <c r="E40" s="697">
        <f>E38/E16</f>
        <v>0.92981818181818188</v>
      </c>
      <c r="F40" s="213"/>
      <c r="G40" s="698">
        <f>G38/G16</f>
        <v>0.92981818181818188</v>
      </c>
      <c r="H40" s="438">
        <f t="shared" si="0"/>
        <v>0</v>
      </c>
      <c r="I40" s="64"/>
      <c r="J40" s="64"/>
      <c r="K40" s="64"/>
      <c r="L40" s="64"/>
      <c r="M40" s="64"/>
      <c r="N40" s="64"/>
    </row>
    <row r="41" spans="1:14" ht="15" customHeight="1" x14ac:dyDescent="0.25">
      <c r="A41" s="592"/>
      <c r="B41" s="585"/>
      <c r="C41" s="660" t="s">
        <v>88</v>
      </c>
      <c r="D41" s="661"/>
      <c r="E41" s="477">
        <f>E42/E16</f>
        <v>7.0181818181818123E-2</v>
      </c>
      <c r="F41" s="436"/>
      <c r="G41" s="465">
        <f>G42/G16</f>
        <v>7.0181818181818123E-2</v>
      </c>
      <c r="H41" s="157">
        <f t="shared" si="0"/>
        <v>0</v>
      </c>
      <c r="I41" s="64"/>
      <c r="J41" s="64"/>
      <c r="K41" s="64"/>
      <c r="L41" s="64"/>
      <c r="M41" s="64"/>
      <c r="N41" s="64"/>
    </row>
    <row r="42" spans="1:14" ht="15" customHeight="1" x14ac:dyDescent="0.25">
      <c r="A42" s="592"/>
      <c r="B42" s="583"/>
      <c r="C42" s="662"/>
      <c r="D42" s="663"/>
      <c r="E42" s="478">
        <f>E16-E38</f>
        <v>2.4012287999999984</v>
      </c>
      <c r="F42" s="437" t="s">
        <v>89</v>
      </c>
      <c r="G42" s="445">
        <f>G16-G38</f>
        <v>2.4012287999999984</v>
      </c>
      <c r="H42" s="157">
        <f t="shared" si="0"/>
        <v>0</v>
      </c>
      <c r="I42" s="64"/>
      <c r="J42" s="64"/>
      <c r="K42" s="64"/>
      <c r="L42" s="64"/>
      <c r="M42" s="64"/>
      <c r="N42" s="64"/>
    </row>
    <row r="43" spans="1:14" ht="15" customHeight="1" x14ac:dyDescent="0.25">
      <c r="A43" s="592"/>
      <c r="B43" s="583"/>
      <c r="C43" s="574" t="s">
        <v>275</v>
      </c>
      <c r="D43" s="576"/>
      <c r="E43" s="49"/>
      <c r="F43" s="29"/>
      <c r="G43" s="441"/>
      <c r="H43" s="411"/>
      <c r="I43" s="64"/>
      <c r="J43" s="64"/>
      <c r="K43" s="64"/>
      <c r="L43" s="64"/>
      <c r="M43" s="64"/>
      <c r="N43" s="64"/>
    </row>
    <row r="44" spans="1:14" ht="15" customHeight="1" x14ac:dyDescent="0.25">
      <c r="A44" s="592"/>
      <c r="B44" s="583"/>
      <c r="C44" s="34" t="s">
        <v>246</v>
      </c>
      <c r="D44" s="225"/>
      <c r="E44" s="35">
        <f>0.61+3*0.51</f>
        <v>2.14</v>
      </c>
      <c r="F44" s="418" t="s">
        <v>4</v>
      </c>
      <c r="G44" s="442">
        <f>0.61+3*0.51</f>
        <v>2.14</v>
      </c>
      <c r="H44" s="157">
        <f t="shared" si="0"/>
        <v>0</v>
      </c>
      <c r="I44" s="64"/>
      <c r="J44" s="64"/>
      <c r="K44" s="64"/>
      <c r="L44" s="64"/>
      <c r="M44" s="64"/>
      <c r="N44" s="64"/>
    </row>
    <row r="45" spans="1:14" ht="15" customHeight="1" x14ac:dyDescent="0.25">
      <c r="A45" s="592"/>
      <c r="B45" s="588" t="s">
        <v>448</v>
      </c>
      <c r="C45" s="16" t="s">
        <v>370</v>
      </c>
      <c r="D45" s="38"/>
      <c r="E45" s="45">
        <v>2.7</v>
      </c>
      <c r="F45" s="415" t="s">
        <v>4</v>
      </c>
      <c r="G45" s="439">
        <v>2.7</v>
      </c>
      <c r="H45" s="157">
        <f t="shared" si="0"/>
        <v>0</v>
      </c>
      <c r="I45" s="64"/>
      <c r="J45" s="64"/>
      <c r="K45" s="64"/>
      <c r="L45" s="64"/>
      <c r="M45" s="64"/>
      <c r="N45" s="64"/>
    </row>
    <row r="46" spans="1:14" ht="15" customHeight="1" x14ac:dyDescent="0.25">
      <c r="A46" s="592"/>
      <c r="B46" s="588" t="s">
        <v>448</v>
      </c>
      <c r="C46" s="16" t="s">
        <v>371</v>
      </c>
      <c r="D46" s="38"/>
      <c r="E46" s="45">
        <v>1.6</v>
      </c>
      <c r="F46" s="415" t="s">
        <v>4</v>
      </c>
      <c r="G46" s="439">
        <v>1.6</v>
      </c>
      <c r="H46" s="157">
        <f t="shared" si="0"/>
        <v>0</v>
      </c>
      <c r="I46" s="64"/>
      <c r="J46" s="64"/>
      <c r="K46" s="64"/>
      <c r="L46" s="64"/>
      <c r="M46" s="64"/>
      <c r="N46" s="64"/>
    </row>
    <row r="47" spans="1:14" ht="15" customHeight="1" x14ac:dyDescent="0.25">
      <c r="A47" s="592"/>
      <c r="B47" s="587" t="s">
        <v>221</v>
      </c>
      <c r="C47" s="216" t="s">
        <v>360</v>
      </c>
      <c r="D47" s="56"/>
      <c r="E47" s="60">
        <v>1</v>
      </c>
      <c r="F47" s="23" t="s">
        <v>24</v>
      </c>
      <c r="G47" s="443">
        <v>1</v>
      </c>
      <c r="H47" s="157">
        <f t="shared" si="0"/>
        <v>0</v>
      </c>
      <c r="I47" s="64"/>
      <c r="J47" s="64"/>
      <c r="K47" s="64"/>
      <c r="L47" s="64"/>
      <c r="M47" s="64"/>
      <c r="N47" s="64"/>
    </row>
    <row r="48" spans="1:14" ht="15" customHeight="1" x14ac:dyDescent="0.25">
      <c r="A48" s="592"/>
      <c r="B48" s="587" t="s">
        <v>221</v>
      </c>
      <c r="C48" s="216" t="s">
        <v>234</v>
      </c>
      <c r="D48" s="56"/>
      <c r="E48" s="60">
        <v>3</v>
      </c>
      <c r="F48" s="23" t="s">
        <v>24</v>
      </c>
      <c r="G48" s="443">
        <v>3</v>
      </c>
      <c r="H48" s="157">
        <f t="shared" si="0"/>
        <v>0</v>
      </c>
      <c r="I48" s="64"/>
      <c r="J48" s="64"/>
      <c r="K48" s="64"/>
      <c r="L48" s="64"/>
      <c r="M48" s="64"/>
      <c r="N48" s="64"/>
    </row>
    <row r="49" spans="1:14" ht="15" customHeight="1" x14ac:dyDescent="0.25">
      <c r="A49" s="592"/>
      <c r="B49" s="588" t="s">
        <v>448</v>
      </c>
      <c r="C49" s="275" t="s">
        <v>406</v>
      </c>
      <c r="D49" s="217"/>
      <c r="E49" s="255">
        <v>2.8</v>
      </c>
      <c r="F49" s="226" t="s">
        <v>4</v>
      </c>
      <c r="G49" s="439">
        <v>2.8</v>
      </c>
      <c r="H49" s="157">
        <f t="shared" si="0"/>
        <v>0</v>
      </c>
      <c r="I49" s="64"/>
      <c r="J49" s="64"/>
      <c r="K49" s="64"/>
      <c r="L49" s="64"/>
      <c r="M49" s="64"/>
      <c r="N49" s="64"/>
    </row>
    <row r="50" spans="1:14" ht="15" customHeight="1" x14ac:dyDescent="0.25">
      <c r="A50" s="592"/>
      <c r="B50" s="588" t="s">
        <v>448</v>
      </c>
      <c r="C50" s="275" t="s">
        <v>371</v>
      </c>
      <c r="D50" s="391"/>
      <c r="E50" s="392">
        <v>1.8</v>
      </c>
      <c r="F50" s="226" t="s">
        <v>4</v>
      </c>
      <c r="G50" s="444">
        <v>1.8</v>
      </c>
      <c r="H50" s="157">
        <f t="shared" si="0"/>
        <v>0</v>
      </c>
      <c r="I50" s="64"/>
      <c r="J50" s="64"/>
      <c r="K50" s="64"/>
      <c r="L50" s="64"/>
      <c r="M50" s="64"/>
      <c r="N50" s="64"/>
    </row>
    <row r="51" spans="1:14" ht="15" customHeight="1" x14ac:dyDescent="0.25">
      <c r="A51" s="592"/>
      <c r="B51" s="588" t="s">
        <v>321</v>
      </c>
      <c r="C51" s="22" t="s">
        <v>80</v>
      </c>
      <c r="D51" s="343"/>
      <c r="E51" s="41">
        <f>E49</f>
        <v>2.8</v>
      </c>
      <c r="F51" s="419" t="s">
        <v>4</v>
      </c>
      <c r="G51" s="439">
        <f>G49</f>
        <v>2.8</v>
      </c>
      <c r="H51" s="157">
        <f t="shared" si="0"/>
        <v>0</v>
      </c>
      <c r="I51" s="64"/>
      <c r="J51" s="64"/>
      <c r="K51" s="64"/>
      <c r="L51" s="64"/>
      <c r="M51" s="64"/>
      <c r="N51" s="64"/>
    </row>
    <row r="52" spans="1:14" ht="15" customHeight="1" x14ac:dyDescent="0.25">
      <c r="A52" s="592"/>
      <c r="B52" s="588" t="s">
        <v>321</v>
      </c>
      <c r="C52" s="22" t="s">
        <v>148</v>
      </c>
      <c r="D52" s="343" t="str">
        <f>IF(E52&gt;E48*E46,"suficiente","insuficiente")</f>
        <v>suficiente</v>
      </c>
      <c r="E52" s="41">
        <f>E50*E48</f>
        <v>5.4</v>
      </c>
      <c r="F52" s="419" t="s">
        <v>4</v>
      </c>
      <c r="G52" s="439">
        <f>G50*G48</f>
        <v>5.4</v>
      </c>
      <c r="H52" s="157">
        <f t="shared" si="0"/>
        <v>0</v>
      </c>
      <c r="I52" s="64"/>
      <c r="J52" s="64"/>
      <c r="K52" s="64"/>
      <c r="L52" s="64"/>
      <c r="M52" s="64"/>
      <c r="N52" s="64"/>
    </row>
    <row r="53" spans="1:14" ht="15" customHeight="1" x14ac:dyDescent="0.25">
      <c r="A53" s="592"/>
      <c r="B53" s="588"/>
      <c r="C53" s="250" t="s">
        <v>407</v>
      </c>
      <c r="D53" s="251"/>
      <c r="E53" s="434">
        <f>E52/E47</f>
        <v>5.4</v>
      </c>
      <c r="F53" s="420" t="s">
        <v>4</v>
      </c>
      <c r="G53" s="445">
        <f>G52/G47</f>
        <v>5.4</v>
      </c>
      <c r="H53" s="157">
        <f t="shared" si="0"/>
        <v>0</v>
      </c>
      <c r="I53" s="64"/>
      <c r="J53" s="64"/>
      <c r="K53" s="64"/>
      <c r="L53" s="64"/>
      <c r="M53" s="64"/>
      <c r="N53" s="64"/>
    </row>
    <row r="54" spans="1:14" ht="15" customHeight="1" x14ac:dyDescent="0.25">
      <c r="A54" s="592"/>
      <c r="B54" s="588" t="s">
        <v>359</v>
      </c>
      <c r="C54" s="3" t="s">
        <v>48</v>
      </c>
      <c r="D54" s="6"/>
      <c r="E54" s="45">
        <f>'Parrilla Nitrificación Parcial'!E63</f>
        <v>20.16</v>
      </c>
      <c r="F54" s="39" t="s">
        <v>3</v>
      </c>
      <c r="G54" s="439">
        <f>'Parrilla Nitrificación Parcial'!G63</f>
        <v>20.16</v>
      </c>
      <c r="H54" s="157">
        <f t="shared" si="0"/>
        <v>0</v>
      </c>
      <c r="I54" s="64"/>
      <c r="J54" s="64"/>
      <c r="K54" s="64"/>
      <c r="L54" s="64"/>
      <c r="M54" s="64"/>
      <c r="N54" s="64"/>
    </row>
    <row r="55" spans="1:14" ht="15" x14ac:dyDescent="0.25">
      <c r="A55" s="592"/>
      <c r="B55" s="588"/>
      <c r="C55" s="577" t="s">
        <v>237</v>
      </c>
      <c r="D55" s="576"/>
      <c r="E55" s="219"/>
      <c r="F55" s="28"/>
      <c r="G55" s="441"/>
      <c r="H55" s="411"/>
      <c r="I55" s="64"/>
      <c r="J55" s="64"/>
      <c r="K55" s="64"/>
      <c r="L55" s="64"/>
      <c r="M55" s="64"/>
      <c r="N55" s="64"/>
    </row>
    <row r="56" spans="1:14" ht="15" x14ac:dyDescent="0.25">
      <c r="A56" s="592"/>
      <c r="B56" s="583"/>
      <c r="C56" s="431" t="s">
        <v>238</v>
      </c>
      <c r="D56" s="39"/>
      <c r="E56" s="221"/>
      <c r="F56" s="421"/>
      <c r="G56" s="441"/>
      <c r="H56" s="411"/>
      <c r="I56" s="64"/>
      <c r="J56" s="64"/>
      <c r="K56" s="64"/>
      <c r="L56" s="64"/>
      <c r="M56" s="64"/>
      <c r="N56" s="64"/>
    </row>
    <row r="57" spans="1:14" ht="15" x14ac:dyDescent="0.25">
      <c r="A57" s="592"/>
      <c r="B57" s="694" t="s">
        <v>489</v>
      </c>
      <c r="C57" s="22" t="s">
        <v>501</v>
      </c>
      <c r="D57" s="693" t="s">
        <v>46</v>
      </c>
      <c r="E57" s="51">
        <v>2</v>
      </c>
      <c r="F57" s="23" t="s">
        <v>73</v>
      </c>
      <c r="G57" s="442">
        <v>2</v>
      </c>
      <c r="H57" s="157">
        <f t="shared" si="0"/>
        <v>0</v>
      </c>
      <c r="I57" s="64"/>
      <c r="J57" s="64"/>
      <c r="K57" s="64"/>
      <c r="L57" s="64"/>
      <c r="M57" s="64"/>
      <c r="N57" s="64"/>
    </row>
    <row r="58" spans="1:14" ht="15" x14ac:dyDescent="0.25">
      <c r="A58" s="592"/>
      <c r="B58" s="695"/>
      <c r="C58" s="22" t="s">
        <v>502</v>
      </c>
      <c r="D58" s="693" t="s">
        <v>46</v>
      </c>
      <c r="E58" s="51">
        <v>1.5</v>
      </c>
      <c r="F58" s="23" t="s">
        <v>73</v>
      </c>
      <c r="G58" s="442">
        <v>1.5</v>
      </c>
      <c r="H58" s="157">
        <f t="shared" ref="H58" si="1">G58-E58</f>
        <v>0</v>
      </c>
      <c r="I58" s="64"/>
      <c r="J58" s="64"/>
      <c r="K58" s="64"/>
      <c r="L58" s="64"/>
      <c r="M58" s="64"/>
      <c r="N58" s="64"/>
    </row>
    <row r="59" spans="1:14" ht="15" customHeight="1" x14ac:dyDescent="0.25">
      <c r="A59" s="592"/>
      <c r="B59" s="587" t="s">
        <v>221</v>
      </c>
      <c r="C59" s="22" t="s">
        <v>235</v>
      </c>
      <c r="D59" s="242"/>
      <c r="E59" s="243">
        <v>30</v>
      </c>
      <c r="F59" s="23" t="s">
        <v>26</v>
      </c>
      <c r="G59" s="446">
        <v>30</v>
      </c>
      <c r="H59" s="157">
        <f t="shared" si="0"/>
        <v>0</v>
      </c>
      <c r="I59" s="64"/>
      <c r="J59" s="64"/>
      <c r="K59" s="64"/>
      <c r="L59" s="64"/>
      <c r="M59" s="64"/>
      <c r="N59" s="64"/>
    </row>
    <row r="60" spans="1:14" ht="15" customHeight="1" x14ac:dyDescent="0.25">
      <c r="A60" s="592"/>
      <c r="B60" s="583"/>
      <c r="C60" s="16" t="s">
        <v>236</v>
      </c>
      <c r="D60" s="6" t="s">
        <v>1</v>
      </c>
      <c r="E60" s="45">
        <f>0.001*E14*E59*60</f>
        <v>3.24</v>
      </c>
      <c r="F60" s="39" t="s">
        <v>2</v>
      </c>
      <c r="G60" s="439">
        <f>0.001*G14*G59*60</f>
        <v>3.24</v>
      </c>
      <c r="H60" s="157">
        <f t="shared" si="0"/>
        <v>0</v>
      </c>
      <c r="I60" s="64"/>
      <c r="J60" s="64"/>
      <c r="K60" s="64"/>
      <c r="L60" s="64"/>
      <c r="M60" s="64"/>
      <c r="N60" s="64"/>
    </row>
    <row r="61" spans="1:14" ht="15" customHeight="1" x14ac:dyDescent="0.25">
      <c r="A61" s="592"/>
      <c r="B61" s="583"/>
      <c r="C61" s="250" t="s">
        <v>162</v>
      </c>
      <c r="D61" s="251" t="s">
        <v>161</v>
      </c>
      <c r="E61" s="434">
        <f>E60/E54</f>
        <v>0.16071428571428573</v>
      </c>
      <c r="F61" s="420" t="s">
        <v>4</v>
      </c>
      <c r="G61" s="445">
        <f>G60/G54</f>
        <v>0.16071428571428573</v>
      </c>
      <c r="H61" s="157">
        <f t="shared" si="0"/>
        <v>0</v>
      </c>
      <c r="I61" s="64"/>
      <c r="J61" s="64"/>
      <c r="K61" s="64"/>
      <c r="L61" s="64"/>
      <c r="M61" s="64"/>
      <c r="N61" s="64"/>
    </row>
    <row r="62" spans="1:14" ht="15" customHeight="1" x14ac:dyDescent="0.25">
      <c r="A62" s="592"/>
      <c r="B62" s="583"/>
      <c r="C62" s="37" t="s">
        <v>458</v>
      </c>
      <c r="D62" s="39"/>
      <c r="E62" s="221">
        <f>E84/(E84+E68)</f>
        <v>0.41089327847355517</v>
      </c>
      <c r="F62" s="39"/>
      <c r="G62" s="614">
        <f>G84/(G84+G68)</f>
        <v>0.41089327847355517</v>
      </c>
      <c r="H62" s="157">
        <f t="shared" si="0"/>
        <v>0</v>
      </c>
      <c r="I62" s="64"/>
      <c r="J62" s="64"/>
      <c r="K62" s="64"/>
      <c r="L62" s="64"/>
      <c r="M62" s="64"/>
      <c r="N62" s="64"/>
    </row>
    <row r="63" spans="1:14" ht="15" customHeight="1" x14ac:dyDescent="0.25">
      <c r="A63" s="592"/>
      <c r="B63" s="583"/>
      <c r="C63" s="615" t="s">
        <v>459</v>
      </c>
      <c r="D63" s="627" t="str">
        <f>IF(E63&gt;E62,"insuficiente","adecuado")</f>
        <v>adecuado</v>
      </c>
      <c r="E63" s="616">
        <v>0.33</v>
      </c>
      <c r="F63" s="213" t="s">
        <v>119</v>
      </c>
      <c r="G63" s="614">
        <v>0.33</v>
      </c>
      <c r="H63" s="157">
        <f t="shared" si="0"/>
        <v>0</v>
      </c>
      <c r="I63" s="64"/>
      <c r="J63" s="64"/>
      <c r="K63" s="64"/>
      <c r="L63" s="64"/>
      <c r="M63" s="64"/>
      <c r="N63" s="64"/>
    </row>
    <row r="64" spans="1:14" ht="15" customHeight="1" x14ac:dyDescent="0.25">
      <c r="A64" s="592"/>
      <c r="B64" s="598"/>
      <c r="C64" s="37" t="s">
        <v>457</v>
      </c>
      <c r="D64" s="39"/>
      <c r="E64" s="45">
        <f>(1-E63)*E60*E17*E19</f>
        <v>78.148799999999994</v>
      </c>
      <c r="F64" s="39" t="s">
        <v>456</v>
      </c>
      <c r="G64" s="439">
        <f>(1-G63)*G60*G17*G19</f>
        <v>78.148799999999994</v>
      </c>
      <c r="H64" s="157">
        <f t="shared" si="0"/>
        <v>0</v>
      </c>
      <c r="I64" s="64"/>
      <c r="J64" s="64"/>
      <c r="K64" s="64"/>
      <c r="L64" s="64"/>
      <c r="M64" s="64"/>
      <c r="N64" s="64"/>
    </row>
    <row r="65" spans="1:14" ht="15" customHeight="1" x14ac:dyDescent="0.35">
      <c r="A65" s="592"/>
      <c r="B65" s="588" t="s">
        <v>260</v>
      </c>
      <c r="C65" s="34" t="s">
        <v>110</v>
      </c>
      <c r="D65" s="193" t="s">
        <v>438</v>
      </c>
      <c r="E65" s="35">
        <v>3.43</v>
      </c>
      <c r="F65" s="418" t="s">
        <v>127</v>
      </c>
      <c r="G65" s="442">
        <v>3.43</v>
      </c>
      <c r="H65" s="157">
        <f t="shared" si="0"/>
        <v>0</v>
      </c>
      <c r="I65" s="64"/>
      <c r="J65" s="64"/>
      <c r="K65" s="64"/>
      <c r="L65" s="64"/>
      <c r="M65" s="64"/>
      <c r="N65" s="64"/>
    </row>
    <row r="66" spans="1:14" ht="15" customHeight="1" x14ac:dyDescent="0.25">
      <c r="A66" s="592"/>
      <c r="B66" s="588" t="s">
        <v>439</v>
      </c>
      <c r="C66" s="16" t="s">
        <v>126</v>
      </c>
      <c r="D66" s="38" t="s">
        <v>442</v>
      </c>
      <c r="E66" s="220">
        <f>E64*E65</f>
        <v>268.05038400000001</v>
      </c>
      <c r="F66" s="39" t="s">
        <v>117</v>
      </c>
      <c r="G66" s="447">
        <f>G64*G65</f>
        <v>268.05038400000001</v>
      </c>
      <c r="H66" s="157">
        <f t="shared" si="0"/>
        <v>0</v>
      </c>
      <c r="I66" s="64"/>
      <c r="J66" s="64"/>
      <c r="K66" s="64"/>
      <c r="L66" s="64"/>
      <c r="M66" s="64"/>
      <c r="N66" s="64"/>
    </row>
    <row r="67" spans="1:14" ht="15" customHeight="1" x14ac:dyDescent="0.25">
      <c r="A67" s="592"/>
      <c r="B67" s="588" t="s">
        <v>359</v>
      </c>
      <c r="C67" s="16" t="s">
        <v>231</v>
      </c>
      <c r="D67" s="38"/>
      <c r="E67" s="45">
        <f>1000*E48*'Parrilla Nitrificación Parcial'!E54/60</f>
        <v>20.773466948299369</v>
      </c>
      <c r="F67" s="617" t="s">
        <v>128</v>
      </c>
      <c r="G67" s="442">
        <f>1000*G48*'Parrilla Nitrificación Parcial'!G54/60</f>
        <v>20.773466948299369</v>
      </c>
      <c r="H67" s="157">
        <f t="shared" si="0"/>
        <v>0</v>
      </c>
      <c r="I67" s="64"/>
      <c r="J67" s="64"/>
      <c r="K67" s="64"/>
      <c r="L67" s="64"/>
      <c r="M67" s="64"/>
      <c r="N67" s="64"/>
    </row>
    <row r="68" spans="1:14" ht="15" customHeight="1" x14ac:dyDescent="0.25">
      <c r="A68" s="592"/>
      <c r="B68" s="588"/>
      <c r="C68" s="250" t="s">
        <v>156</v>
      </c>
      <c r="D68" s="251" t="s">
        <v>218</v>
      </c>
      <c r="E68" s="434">
        <f>E66/E67</f>
        <v>12.903497748696401</v>
      </c>
      <c r="F68" s="420" t="s">
        <v>26</v>
      </c>
      <c r="G68" s="445">
        <f>G66/G67</f>
        <v>12.903497748696401</v>
      </c>
      <c r="H68" s="157">
        <f t="shared" si="0"/>
        <v>0</v>
      </c>
      <c r="I68" s="64"/>
      <c r="J68" s="64"/>
      <c r="K68" s="64"/>
      <c r="L68" s="64"/>
      <c r="M68" s="64"/>
      <c r="N68" s="64"/>
    </row>
    <row r="69" spans="1:14" ht="15" customHeight="1" x14ac:dyDescent="0.25">
      <c r="A69" s="592"/>
      <c r="B69" s="588"/>
      <c r="C69" s="431" t="s">
        <v>240</v>
      </c>
      <c r="D69" s="39"/>
      <c r="E69" s="221"/>
      <c r="F69" s="421"/>
      <c r="G69" s="441"/>
      <c r="H69" s="411"/>
      <c r="I69" s="64"/>
      <c r="J69" s="64"/>
      <c r="K69" s="64"/>
      <c r="L69" s="64"/>
      <c r="M69" s="64"/>
      <c r="N69" s="64"/>
    </row>
    <row r="70" spans="1:14" ht="15" customHeight="1" x14ac:dyDescent="0.25">
      <c r="A70" s="592"/>
      <c r="B70" s="586"/>
      <c r="C70" s="34" t="s">
        <v>116</v>
      </c>
      <c r="D70" s="193"/>
      <c r="E70" s="35">
        <v>0.1</v>
      </c>
      <c r="F70" s="418" t="s">
        <v>29</v>
      </c>
      <c r="G70" s="442">
        <v>0.1</v>
      </c>
      <c r="H70" s="157">
        <f t="shared" si="0"/>
        <v>0</v>
      </c>
      <c r="I70" s="64"/>
      <c r="J70" s="64"/>
      <c r="K70" s="64"/>
      <c r="L70" s="64"/>
      <c r="M70" s="64"/>
      <c r="N70" s="64"/>
    </row>
    <row r="71" spans="1:14" ht="15" customHeight="1" x14ac:dyDescent="0.25">
      <c r="A71" s="592"/>
      <c r="B71" s="588" t="s">
        <v>491</v>
      </c>
      <c r="C71" s="34" t="s">
        <v>152</v>
      </c>
      <c r="D71" s="193"/>
      <c r="E71" s="355">
        <v>1.0249999999999999</v>
      </c>
      <c r="F71" s="418"/>
      <c r="G71" s="448">
        <v>1.0249999999999999</v>
      </c>
      <c r="H71" s="157">
        <f t="shared" si="0"/>
        <v>0</v>
      </c>
      <c r="I71" s="64"/>
      <c r="J71" s="64"/>
      <c r="K71" s="64"/>
      <c r="L71" s="64"/>
      <c r="M71" s="64"/>
      <c r="N71" s="64"/>
    </row>
    <row r="72" spans="1:14" ht="15" customHeight="1" x14ac:dyDescent="0.25">
      <c r="A72" s="592"/>
      <c r="B72" s="585" t="s">
        <v>388</v>
      </c>
      <c r="C72" s="3" t="s">
        <v>71</v>
      </c>
      <c r="D72" s="6"/>
      <c r="E72" s="114">
        <f>(10*9.8*(E71-1)*E70*0.001/3)^0.5</f>
        <v>9.0369611411506238E-3</v>
      </c>
      <c r="F72" s="39" t="s">
        <v>9</v>
      </c>
      <c r="G72" s="449">
        <f>(10*9.8*(G71-1)*G70*0.001/3)^0.5</f>
        <v>9.0369611411506238E-3</v>
      </c>
      <c r="H72" s="157">
        <f t="shared" si="0"/>
        <v>0</v>
      </c>
      <c r="I72" s="64"/>
      <c r="J72" s="64"/>
      <c r="K72" s="64"/>
      <c r="L72" s="64"/>
      <c r="M72" s="64"/>
      <c r="N72" s="64"/>
    </row>
    <row r="73" spans="1:14" ht="15" customHeight="1" x14ac:dyDescent="0.25">
      <c r="A73" s="592"/>
      <c r="B73" s="586"/>
      <c r="C73" s="250" t="s">
        <v>259</v>
      </c>
      <c r="D73" s="251" t="s">
        <v>72</v>
      </c>
      <c r="E73" s="434">
        <f>E44/(E72*60)</f>
        <v>3.9467544575637556</v>
      </c>
      <c r="F73" s="420" t="s">
        <v>26</v>
      </c>
      <c r="G73" s="445">
        <f>G44/(G72*60)</f>
        <v>3.9467544575637556</v>
      </c>
      <c r="H73" s="157">
        <f t="shared" si="0"/>
        <v>0</v>
      </c>
      <c r="I73" s="64"/>
      <c r="J73" s="64"/>
      <c r="K73" s="64"/>
      <c r="L73" s="64"/>
      <c r="M73" s="64"/>
      <c r="N73" s="64"/>
    </row>
    <row r="74" spans="1:14" ht="15" customHeight="1" x14ac:dyDescent="0.25">
      <c r="A74" s="592"/>
      <c r="B74" s="586"/>
      <c r="C74" s="431" t="s">
        <v>241</v>
      </c>
      <c r="D74" s="39"/>
      <c r="E74" s="221"/>
      <c r="F74" s="421"/>
      <c r="G74" s="441"/>
      <c r="H74" s="411"/>
      <c r="I74" s="64"/>
      <c r="J74" s="64"/>
      <c r="K74" s="64"/>
      <c r="L74" s="64"/>
      <c r="M74" s="64"/>
      <c r="N74" s="64"/>
    </row>
    <row r="75" spans="1:14" ht="15" x14ac:dyDescent="0.25">
      <c r="A75" s="592"/>
      <c r="B75" s="587" t="s">
        <v>221</v>
      </c>
      <c r="C75" s="222" t="s">
        <v>243</v>
      </c>
      <c r="D75" s="223"/>
      <c r="E75" s="224">
        <v>1</v>
      </c>
      <c r="F75" s="422" t="s">
        <v>24</v>
      </c>
      <c r="G75" s="450">
        <v>1</v>
      </c>
      <c r="H75" s="157">
        <f t="shared" si="0"/>
        <v>0</v>
      </c>
      <c r="I75" s="64"/>
      <c r="J75" s="64"/>
      <c r="K75" s="64"/>
      <c r="L75" s="64"/>
      <c r="M75" s="64"/>
      <c r="N75" s="64"/>
    </row>
    <row r="76" spans="1:14" ht="15" x14ac:dyDescent="0.25">
      <c r="A76" s="592"/>
      <c r="B76" s="583"/>
      <c r="C76" s="34" t="s">
        <v>102</v>
      </c>
      <c r="D76" s="30" t="s">
        <v>178</v>
      </c>
      <c r="E76" s="218">
        <v>3</v>
      </c>
      <c r="F76" s="423" t="s">
        <v>8</v>
      </c>
      <c r="G76" s="451">
        <v>3</v>
      </c>
      <c r="H76" s="157">
        <f t="shared" si="0"/>
        <v>0</v>
      </c>
      <c r="I76" s="64"/>
      <c r="J76" s="64"/>
      <c r="K76" s="64"/>
      <c r="L76" s="64"/>
      <c r="M76" s="64"/>
      <c r="N76" s="64"/>
    </row>
    <row r="77" spans="1:14" ht="15" x14ac:dyDescent="0.25">
      <c r="A77" s="592"/>
      <c r="B77" s="588" t="s">
        <v>278</v>
      </c>
      <c r="C77" s="34" t="s">
        <v>173</v>
      </c>
      <c r="D77" s="30"/>
      <c r="E77" s="198">
        <f>VLOOKUP(E76,'Valvula Flotador'!A3:B6,2)</f>
        <v>43</v>
      </c>
      <c r="F77" s="226" t="s">
        <v>29</v>
      </c>
      <c r="G77" s="452">
        <f>VLOOKUP(G76,'Valvula Flotador'!A3:B6,2)</f>
        <v>43</v>
      </c>
      <c r="H77" s="157">
        <f t="shared" si="0"/>
        <v>0</v>
      </c>
      <c r="I77" s="64"/>
      <c r="J77" s="64"/>
      <c r="K77" s="64"/>
      <c r="L77" s="64"/>
      <c r="M77" s="64"/>
      <c r="N77" s="64"/>
    </row>
    <row r="78" spans="1:14" ht="15" x14ac:dyDescent="0.25">
      <c r="A78" s="592"/>
      <c r="B78" s="588" t="s">
        <v>278</v>
      </c>
      <c r="C78" s="34" t="s">
        <v>172</v>
      </c>
      <c r="D78" s="193" t="s">
        <v>177</v>
      </c>
      <c r="E78" s="35">
        <f>'Valvula Flotador'!E20</f>
        <v>0.99863897716727534</v>
      </c>
      <c r="F78" s="418"/>
      <c r="G78" s="442">
        <f>'Valvula Flotador'!E20</f>
        <v>0.99863897716727534</v>
      </c>
      <c r="H78" s="157">
        <f t="shared" si="0"/>
        <v>0</v>
      </c>
      <c r="I78" s="64"/>
      <c r="J78" s="64"/>
      <c r="K78" s="64"/>
      <c r="L78" s="64"/>
      <c r="M78" s="64"/>
      <c r="N78" s="64"/>
    </row>
    <row r="79" spans="1:14" ht="15" x14ac:dyDescent="0.25">
      <c r="A79" s="592"/>
      <c r="B79" s="588" t="s">
        <v>321</v>
      </c>
      <c r="C79" s="280" t="s">
        <v>323</v>
      </c>
      <c r="D79" s="308" t="s">
        <v>324</v>
      </c>
      <c r="E79" s="309">
        <v>1.8</v>
      </c>
      <c r="F79" s="424" t="s">
        <v>4</v>
      </c>
      <c r="G79" s="453">
        <v>1.8</v>
      </c>
      <c r="H79" s="157">
        <f t="shared" ref="H79:H84" si="2">G79-E79</f>
        <v>0</v>
      </c>
      <c r="I79" s="64"/>
      <c r="J79" s="64"/>
      <c r="K79" s="64"/>
      <c r="L79" s="64"/>
      <c r="M79" s="64"/>
      <c r="N79" s="64"/>
    </row>
    <row r="80" spans="1:14" ht="15" x14ac:dyDescent="0.25">
      <c r="A80" s="592"/>
      <c r="B80" s="590" t="s">
        <v>325</v>
      </c>
      <c r="C80" s="280" t="s">
        <v>54</v>
      </c>
      <c r="D80" s="310" t="str">
        <f>IF(ABS(E80-E79)&gt;0.02,"ejecutar función objetivo","correcto ")</f>
        <v xml:space="preserve">correcto </v>
      </c>
      <c r="E80" s="309">
        <f>'Tuberías Varias'!E37</f>
        <v>1.8000762256820588</v>
      </c>
      <c r="F80" s="424" t="s">
        <v>4</v>
      </c>
      <c r="G80" s="453">
        <f>'Tuberías Varias'!G37</f>
        <v>1.8000762256820588</v>
      </c>
      <c r="H80" s="157">
        <f t="shared" si="2"/>
        <v>0</v>
      </c>
      <c r="I80" s="64"/>
      <c r="J80" s="64"/>
      <c r="K80" s="64"/>
      <c r="L80" s="64"/>
      <c r="M80" s="64"/>
      <c r="N80" s="64"/>
    </row>
    <row r="81" spans="1:14" ht="15" x14ac:dyDescent="0.25">
      <c r="A81" s="592"/>
      <c r="B81" s="591" t="s">
        <v>326</v>
      </c>
      <c r="C81" s="3" t="s">
        <v>327</v>
      </c>
      <c r="D81" s="6"/>
      <c r="E81" s="31">
        <v>7.281627145338553</v>
      </c>
      <c r="F81" s="4" t="s">
        <v>0</v>
      </c>
      <c r="G81" s="442">
        <v>7.281627145338553</v>
      </c>
      <c r="H81" s="157">
        <f t="shared" si="2"/>
        <v>0</v>
      </c>
      <c r="I81" s="64"/>
      <c r="J81" s="64"/>
      <c r="K81" s="64"/>
      <c r="L81" s="64"/>
      <c r="M81" s="64"/>
      <c r="N81" s="64"/>
    </row>
    <row r="82" spans="1:14" ht="15" x14ac:dyDescent="0.25">
      <c r="A82" s="592"/>
      <c r="B82" s="591"/>
      <c r="C82" s="250" t="s">
        <v>328</v>
      </c>
      <c r="D82" s="251"/>
      <c r="E82" s="434">
        <f>E81*E75</f>
        <v>7.281627145338553</v>
      </c>
      <c r="F82" s="420" t="s">
        <v>0</v>
      </c>
      <c r="G82" s="445">
        <f>G81*G75</f>
        <v>7.281627145338553</v>
      </c>
      <c r="H82" s="157">
        <f t="shared" si="2"/>
        <v>0</v>
      </c>
      <c r="I82" s="64"/>
      <c r="J82" s="64"/>
      <c r="K82" s="64"/>
      <c r="L82" s="64"/>
      <c r="M82" s="64"/>
      <c r="N82" s="64"/>
    </row>
    <row r="83" spans="1:14" ht="15" x14ac:dyDescent="0.25">
      <c r="A83" s="592"/>
      <c r="B83" s="588" t="s">
        <v>179</v>
      </c>
      <c r="C83" s="20" t="s">
        <v>473</v>
      </c>
      <c r="D83" s="312" t="str">
        <f>IF(E83&gt;E82,"aumentar válvulas","suficiente")</f>
        <v>suficiente</v>
      </c>
      <c r="E83" s="50">
        <v>6</v>
      </c>
      <c r="F83" s="425" t="s">
        <v>0</v>
      </c>
      <c r="G83" s="442">
        <v>6</v>
      </c>
      <c r="H83" s="157">
        <f t="shared" si="2"/>
        <v>0</v>
      </c>
      <c r="I83" s="64"/>
      <c r="J83" s="64"/>
      <c r="K83" s="64"/>
      <c r="L83" s="64"/>
      <c r="M83" s="64"/>
      <c r="N83" s="64"/>
    </row>
    <row r="84" spans="1:14" ht="15" x14ac:dyDescent="0.25">
      <c r="A84" s="592"/>
      <c r="B84" s="588"/>
      <c r="C84" s="250" t="s">
        <v>157</v>
      </c>
      <c r="D84" s="251" t="s">
        <v>75</v>
      </c>
      <c r="E84" s="434">
        <f>1000*E60/(60*E83)</f>
        <v>9</v>
      </c>
      <c r="F84" s="420" t="s">
        <v>26</v>
      </c>
      <c r="G84" s="445">
        <f>1000*G60/(60*G83)</f>
        <v>9</v>
      </c>
      <c r="H84" s="157">
        <f t="shared" si="2"/>
        <v>0</v>
      </c>
      <c r="I84" s="64"/>
      <c r="J84" s="64"/>
      <c r="K84" s="64"/>
      <c r="L84" s="64"/>
      <c r="M84" s="64"/>
      <c r="N84" s="64"/>
    </row>
    <row r="85" spans="1:14" ht="15" x14ac:dyDescent="0.25">
      <c r="A85" s="592"/>
      <c r="B85" s="583"/>
      <c r="C85" s="577" t="s">
        <v>239</v>
      </c>
      <c r="D85" s="28"/>
      <c r="E85" s="49"/>
      <c r="F85" s="29"/>
      <c r="G85" s="441"/>
      <c r="H85" s="411"/>
      <c r="I85" s="64"/>
      <c r="J85" s="64"/>
      <c r="K85" s="64"/>
      <c r="L85" s="64"/>
      <c r="M85" s="64"/>
      <c r="N85" s="64"/>
    </row>
    <row r="86" spans="1:14" ht="15" x14ac:dyDescent="0.25">
      <c r="A86" s="592"/>
      <c r="B86" s="583"/>
      <c r="C86" s="250" t="s">
        <v>124</v>
      </c>
      <c r="D86" s="251" t="s">
        <v>242</v>
      </c>
      <c r="E86" s="434">
        <f>E68+E73+E84</f>
        <v>25.850252206260155</v>
      </c>
      <c r="F86" s="420" t="s">
        <v>26</v>
      </c>
      <c r="G86" s="445">
        <f>G68+G73+G84</f>
        <v>25.850252206260155</v>
      </c>
      <c r="H86" s="157">
        <f>G86-E86</f>
        <v>0</v>
      </c>
      <c r="I86" s="64"/>
      <c r="J86" s="64"/>
      <c r="K86" s="64"/>
      <c r="L86" s="64"/>
      <c r="M86" s="64"/>
      <c r="N86" s="64"/>
    </row>
    <row r="87" spans="1:14" ht="15" x14ac:dyDescent="0.25">
      <c r="A87" s="592"/>
      <c r="B87" s="583"/>
      <c r="C87" s="250" t="s">
        <v>159</v>
      </c>
      <c r="D87" s="364" t="str">
        <f>IF(E87&gt;E86,"suficiente","aumentar Parrillas")</f>
        <v>suficiente</v>
      </c>
      <c r="E87" s="434">
        <f>E59</f>
        <v>30</v>
      </c>
      <c r="F87" s="420" t="s">
        <v>26</v>
      </c>
      <c r="G87" s="445">
        <f>G59</f>
        <v>30</v>
      </c>
      <c r="H87" s="157">
        <f>G87-E87</f>
        <v>0</v>
      </c>
      <c r="I87" s="64"/>
      <c r="J87" s="64"/>
      <c r="K87" s="64"/>
      <c r="L87" s="64"/>
      <c r="M87" s="64"/>
      <c r="N87" s="64"/>
    </row>
    <row r="88" spans="1:14" ht="15" x14ac:dyDescent="0.25">
      <c r="A88" s="592"/>
      <c r="B88" s="583"/>
      <c r="C88" s="3" t="s">
        <v>125</v>
      </c>
      <c r="D88" s="313"/>
      <c r="E88" s="31">
        <f>E87-E86</f>
        <v>4.149747793739845</v>
      </c>
      <c r="F88" s="4" t="s">
        <v>26</v>
      </c>
      <c r="G88" s="442">
        <f>G87-G86</f>
        <v>4.149747793739845</v>
      </c>
      <c r="H88" s="157">
        <f>G88-E88</f>
        <v>0</v>
      </c>
      <c r="I88" s="64"/>
      <c r="J88" s="64"/>
      <c r="K88" s="64"/>
      <c r="L88" s="64"/>
      <c r="M88" s="64"/>
      <c r="N88" s="64"/>
    </row>
    <row r="89" spans="1:14" ht="15" x14ac:dyDescent="0.25">
      <c r="A89" s="592"/>
      <c r="B89" s="588" t="s">
        <v>492</v>
      </c>
      <c r="C89" s="34" t="s">
        <v>151</v>
      </c>
      <c r="D89" s="314"/>
      <c r="E89" s="35" t="s">
        <v>150</v>
      </c>
      <c r="F89" s="418" t="s">
        <v>26</v>
      </c>
      <c r="G89" s="442" t="s">
        <v>150</v>
      </c>
      <c r="H89" s="157"/>
      <c r="I89" s="64"/>
      <c r="J89" s="64"/>
      <c r="K89" s="64"/>
      <c r="L89" s="64"/>
      <c r="M89" s="64"/>
      <c r="N89" s="64"/>
    </row>
    <row r="90" spans="1:14" ht="15" x14ac:dyDescent="0.25">
      <c r="A90" s="592"/>
      <c r="B90" s="588"/>
      <c r="C90" s="250" t="s">
        <v>160</v>
      </c>
      <c r="D90" s="364" t="str">
        <f>IF(E90&lt;10,"insuficiente","adecuado")</f>
        <v>adecuado</v>
      </c>
      <c r="E90" s="434">
        <f>E87-E68</f>
        <v>17.096502251303598</v>
      </c>
      <c r="F90" s="420" t="s">
        <v>26</v>
      </c>
      <c r="G90" s="445">
        <f>G87-G68</f>
        <v>17.096502251303598</v>
      </c>
      <c r="H90" s="157">
        <f>G90-E90</f>
        <v>0</v>
      </c>
      <c r="I90" s="64"/>
      <c r="J90" s="64"/>
      <c r="K90" s="64"/>
      <c r="L90" s="64"/>
      <c r="M90" s="64"/>
      <c r="N90" s="64"/>
    </row>
    <row r="91" spans="1:14" ht="15" x14ac:dyDescent="0.25">
      <c r="A91" s="592"/>
      <c r="B91" s="588"/>
      <c r="C91" s="90" t="s">
        <v>245</v>
      </c>
      <c r="D91" s="79"/>
      <c r="E91" s="45">
        <f>'Parrilla Nitrificación Parcial'!F66</f>
        <v>9.9137704949999996</v>
      </c>
      <c r="F91" s="39" t="s">
        <v>0</v>
      </c>
      <c r="G91" s="439">
        <f>'Parrilla Nitrificación Parcial'!G66</f>
        <v>9.9137704949999996</v>
      </c>
      <c r="H91" s="157">
        <f>G91-E91</f>
        <v>0</v>
      </c>
      <c r="I91" s="64"/>
      <c r="J91" s="64"/>
      <c r="K91" s="64"/>
      <c r="L91" s="64"/>
      <c r="M91" s="64"/>
      <c r="N91" s="64"/>
    </row>
    <row r="92" spans="1:14" ht="15" x14ac:dyDescent="0.25">
      <c r="A92" s="592"/>
      <c r="B92" s="588"/>
      <c r="C92" s="621" t="s">
        <v>244</v>
      </c>
      <c r="D92" s="210"/>
      <c r="E92" s="622">
        <f>0.001*E91*E68*60</f>
        <v>7.6753389157995171</v>
      </c>
      <c r="F92" s="623" t="s">
        <v>2</v>
      </c>
      <c r="G92" s="454">
        <f>0.001*G91*G68*60</f>
        <v>7.6753389157995171</v>
      </c>
      <c r="H92" s="157">
        <f>G92-E92</f>
        <v>0</v>
      </c>
      <c r="I92" s="64"/>
      <c r="J92" s="64"/>
      <c r="K92" s="64"/>
      <c r="L92" s="64"/>
      <c r="M92" s="64"/>
      <c r="N92" s="64"/>
    </row>
    <row r="93" spans="1:14" ht="15" x14ac:dyDescent="0.25">
      <c r="A93" s="592"/>
      <c r="B93" s="583"/>
      <c r="C93" s="577" t="s">
        <v>261</v>
      </c>
      <c r="D93" s="65"/>
      <c r="E93" s="66"/>
      <c r="F93" s="63"/>
      <c r="G93" s="441"/>
      <c r="H93" s="411"/>
      <c r="I93" s="64"/>
      <c r="J93" s="64"/>
      <c r="K93" s="64"/>
      <c r="L93" s="64"/>
      <c r="M93" s="64"/>
      <c r="N93" s="64"/>
    </row>
    <row r="94" spans="1:14" ht="15" x14ac:dyDescent="0.25">
      <c r="A94" s="592"/>
      <c r="B94" s="588" t="s">
        <v>454</v>
      </c>
      <c r="C94" s="16" t="s">
        <v>158</v>
      </c>
      <c r="D94" s="38"/>
      <c r="E94" s="45">
        <f>1+E92/E60</f>
        <v>3.3689317641356533</v>
      </c>
      <c r="F94" s="39"/>
      <c r="G94" s="45">
        <f>1+G92/G60</f>
        <v>3.3689317641356533</v>
      </c>
      <c r="H94" s="157">
        <f t="shared" ref="H94:H100" si="3">G94-E94</f>
        <v>0</v>
      </c>
      <c r="I94" s="64"/>
      <c r="J94" s="64"/>
      <c r="K94" s="64"/>
      <c r="L94" s="64"/>
      <c r="M94" s="64"/>
      <c r="N94" s="64"/>
    </row>
    <row r="95" spans="1:14" ht="15" customHeight="1" x14ac:dyDescent="0.25">
      <c r="A95" s="592"/>
      <c r="B95" s="588"/>
      <c r="C95" s="578" t="s">
        <v>130</v>
      </c>
      <c r="D95" s="79"/>
      <c r="E95" s="230">
        <f>E64/E59</f>
        <v>2.6049599999999997</v>
      </c>
      <c r="F95" s="426" t="s">
        <v>131</v>
      </c>
      <c r="G95" s="455">
        <f>G64/G59</f>
        <v>2.6049599999999997</v>
      </c>
      <c r="H95" s="157">
        <f t="shared" si="3"/>
        <v>0</v>
      </c>
      <c r="I95" s="19"/>
      <c r="J95" s="65"/>
      <c r="K95" s="67"/>
      <c r="L95" s="64"/>
      <c r="M95" s="64"/>
      <c r="N95" s="64"/>
    </row>
    <row r="96" spans="1:14" ht="15" customHeight="1" x14ac:dyDescent="0.25">
      <c r="A96" s="592"/>
      <c r="B96" s="587" t="s">
        <v>221</v>
      </c>
      <c r="C96" s="68" t="s">
        <v>276</v>
      </c>
      <c r="D96" s="260" t="s">
        <v>149</v>
      </c>
      <c r="E96" s="50">
        <v>0.3</v>
      </c>
      <c r="F96" s="419" t="s">
        <v>4</v>
      </c>
      <c r="G96" s="442">
        <v>0.3</v>
      </c>
      <c r="H96" s="157">
        <f t="shared" si="3"/>
        <v>0</v>
      </c>
      <c r="I96" s="19"/>
      <c r="J96" s="65"/>
      <c r="K96" s="67"/>
      <c r="L96" s="64"/>
      <c r="M96" s="64"/>
      <c r="N96" s="64"/>
    </row>
    <row r="97" spans="1:14" ht="15" customHeight="1" x14ac:dyDescent="0.25">
      <c r="A97" s="592"/>
      <c r="B97" s="588"/>
      <c r="C97" s="7" t="s">
        <v>247</v>
      </c>
      <c r="D97" s="12"/>
      <c r="E97" s="58">
        <f>E96*E54</f>
        <v>6.048</v>
      </c>
      <c r="F97" s="427" t="s">
        <v>2</v>
      </c>
      <c r="G97" s="439">
        <f>G96*G54</f>
        <v>6.048</v>
      </c>
      <c r="H97" s="157">
        <f t="shared" si="3"/>
        <v>0</v>
      </c>
      <c r="I97" s="19"/>
      <c r="J97" s="65"/>
      <c r="K97" s="67"/>
      <c r="L97" s="64"/>
      <c r="M97" s="64"/>
      <c r="N97" s="64"/>
    </row>
    <row r="98" spans="1:14" ht="15" customHeight="1" x14ac:dyDescent="0.25">
      <c r="A98" s="592"/>
      <c r="B98" s="588"/>
      <c r="C98" s="252" t="s">
        <v>79</v>
      </c>
      <c r="D98" s="30"/>
      <c r="E98" s="227">
        <f>'[1]Datos Bioportadores PP'!$F$35</f>
        <v>605.47590018476353</v>
      </c>
      <c r="F98" s="226" t="s">
        <v>38</v>
      </c>
      <c r="G98" s="456">
        <f>'[1]Datos Bioportadores PP'!$F$35</f>
        <v>605.47590018476353</v>
      </c>
      <c r="H98" s="157">
        <f t="shared" si="3"/>
        <v>0</v>
      </c>
      <c r="I98" s="19"/>
      <c r="J98" s="65"/>
      <c r="K98" s="67"/>
      <c r="L98" s="64"/>
      <c r="M98" s="64"/>
      <c r="N98" s="64"/>
    </row>
    <row r="99" spans="1:14" ht="15" customHeight="1" x14ac:dyDescent="0.25">
      <c r="A99" s="592"/>
      <c r="B99" s="588"/>
      <c r="C99" s="194" t="s">
        <v>248</v>
      </c>
      <c r="D99" s="195"/>
      <c r="E99" s="366">
        <f>E97*E98</f>
        <v>3661.91824431745</v>
      </c>
      <c r="F99" s="213" t="s">
        <v>3</v>
      </c>
      <c r="G99" s="457">
        <f>G97*G98</f>
        <v>3661.91824431745</v>
      </c>
      <c r="H99" s="157">
        <f t="shared" si="3"/>
        <v>0</v>
      </c>
      <c r="I99" s="19"/>
      <c r="J99" s="65"/>
      <c r="K99" s="67"/>
      <c r="L99" s="64"/>
      <c r="M99" s="64"/>
      <c r="N99" s="64"/>
    </row>
    <row r="100" spans="1:14" ht="15" customHeight="1" x14ac:dyDescent="0.25">
      <c r="A100" s="592"/>
      <c r="B100" s="588" t="s">
        <v>396</v>
      </c>
      <c r="C100" s="386" t="s">
        <v>397</v>
      </c>
      <c r="D100" s="237" t="s">
        <v>398</v>
      </c>
      <c r="E100" s="387">
        <f>VLOOKUP(ROUND('Parrilla Nitrificación Parcial'!E30,0),'Agua- T°C'!B6:F46,3)</f>
        <v>8.9099999999999997E-4</v>
      </c>
      <c r="F100" s="388" t="s">
        <v>395</v>
      </c>
      <c r="G100" s="458">
        <f>VLOOKUP(ROUND('Parrilla Nitrificación Parcial'!G30,0),'Agua- T°C'!B6:F46,3)</f>
        <v>8.9099999999999997E-4</v>
      </c>
      <c r="H100" s="157">
        <f t="shared" si="3"/>
        <v>0</v>
      </c>
      <c r="I100" s="19"/>
      <c r="J100" s="65"/>
      <c r="K100" s="67"/>
      <c r="L100" s="64"/>
      <c r="M100" s="64"/>
      <c r="N100" s="64"/>
    </row>
    <row r="101" spans="1:14" ht="15" customHeight="1" x14ac:dyDescent="0.25">
      <c r="A101" s="592"/>
      <c r="B101" s="588" t="s">
        <v>399</v>
      </c>
      <c r="C101" s="386" t="s">
        <v>400</v>
      </c>
      <c r="D101" s="237" t="s">
        <v>401</v>
      </c>
      <c r="E101" s="387" t="s">
        <v>402</v>
      </c>
      <c r="F101" s="388" t="s">
        <v>403</v>
      </c>
      <c r="G101" s="458" t="s">
        <v>402</v>
      </c>
      <c r="H101" s="157"/>
      <c r="I101" s="19"/>
      <c r="J101" s="65"/>
      <c r="K101" s="67"/>
      <c r="L101" s="64"/>
      <c r="M101" s="64"/>
      <c r="N101" s="64"/>
    </row>
    <row r="102" spans="1:14" ht="15" customHeight="1" x14ac:dyDescent="0.25">
      <c r="A102" s="592"/>
      <c r="B102" s="588" t="s">
        <v>404</v>
      </c>
      <c r="C102" s="579" t="s">
        <v>405</v>
      </c>
      <c r="D102" s="389" t="str">
        <f>IF(E102&gt;342,"No cumple",(IF(E102&lt;184,"No Cumple","Cumple")))</f>
        <v>Cumple</v>
      </c>
      <c r="E102" s="390">
        <f>(1000*'Parrilla Nitrificación Parcial'!E72*'Parrilla Nitrificación Parcial'!E71/(E100*E54*'Parrilla Nitrificación Parcial'!E40))^0.5</f>
        <v>297.57077699831359</v>
      </c>
      <c r="F102" s="428" t="s">
        <v>403</v>
      </c>
      <c r="G102" s="459">
        <f>(1000*'Parrilla Nitrificación Parcial'!G72*'Parrilla Nitrificación Parcial'!G71/(G100*G54*'Parrilla Nitrificación Parcial'!G40))^0.5</f>
        <v>297.57077699831359</v>
      </c>
      <c r="H102" s="157">
        <f>G102-E102</f>
        <v>0</v>
      </c>
      <c r="I102" s="19"/>
      <c r="J102" s="65"/>
      <c r="K102" s="67"/>
      <c r="L102" s="64"/>
      <c r="M102" s="64"/>
      <c r="N102" s="64"/>
    </row>
    <row r="103" spans="1:14" ht="15" customHeight="1" x14ac:dyDescent="0.35">
      <c r="A103" s="592"/>
      <c r="B103" s="589" t="s">
        <v>500</v>
      </c>
      <c r="C103" s="252" t="s">
        <v>505</v>
      </c>
      <c r="D103" s="580" t="s">
        <v>153</v>
      </c>
      <c r="E103" s="255">
        <f>-0.2532*E57^2+0.8272*E57</f>
        <v>0.64160000000000017</v>
      </c>
      <c r="F103" s="226" t="s">
        <v>220</v>
      </c>
      <c r="G103" s="439">
        <f>-0.2535*G57^2+0.8272*G57</f>
        <v>0.64040000000000008</v>
      </c>
      <c r="H103" s="157">
        <f>G103-E103</f>
        <v>-1.2000000000000899E-3</v>
      </c>
      <c r="I103" s="19"/>
      <c r="J103" s="65"/>
      <c r="K103" s="67"/>
      <c r="L103" s="64"/>
      <c r="M103" s="64"/>
      <c r="N103" s="64"/>
    </row>
    <row r="104" spans="1:14" ht="15" customHeight="1" x14ac:dyDescent="0.25">
      <c r="A104" s="592"/>
      <c r="B104" s="585"/>
      <c r="C104" s="212" t="s">
        <v>460</v>
      </c>
      <c r="D104" s="347" t="str">
        <f>IF(E104&gt;E103,"reducir velocidad chorros","adecuada")</f>
        <v>adecuada</v>
      </c>
      <c r="E104" s="228">
        <f>24*60*E95/(E99*E94)</f>
        <v>0.30406238124170976</v>
      </c>
      <c r="F104" s="213" t="s">
        <v>132</v>
      </c>
      <c r="G104" s="460">
        <f>24*60*G95/(G99*G94)</f>
        <v>0.30406238124170976</v>
      </c>
      <c r="H104" s="157">
        <f>G104-E104</f>
        <v>0</v>
      </c>
      <c r="I104" s="19"/>
      <c r="J104" s="65"/>
      <c r="K104" s="67"/>
      <c r="L104" s="64"/>
      <c r="M104" s="64"/>
      <c r="N104" s="64"/>
    </row>
    <row r="105" spans="1:14" ht="30.75" customHeight="1" x14ac:dyDescent="0.25">
      <c r="A105" s="592"/>
      <c r="B105" s="588" t="s">
        <v>277</v>
      </c>
      <c r="C105" s="236" t="s">
        <v>255</v>
      </c>
      <c r="D105" s="237" t="s">
        <v>256</v>
      </c>
      <c r="E105" s="240">
        <f>Nitrificación!C4</f>
        <v>1</v>
      </c>
      <c r="F105" s="429" t="s">
        <v>257</v>
      </c>
      <c r="G105" s="438">
        <f>Nitrificación!C4</f>
        <v>1</v>
      </c>
      <c r="H105" s="438">
        <f>G105-E105</f>
        <v>0</v>
      </c>
      <c r="I105" s="19"/>
      <c r="J105" s="65"/>
      <c r="K105" s="67"/>
      <c r="L105" s="64"/>
      <c r="M105" s="64"/>
      <c r="N105" s="64"/>
    </row>
    <row r="106" spans="1:14" ht="15" customHeight="1" x14ac:dyDescent="0.25">
      <c r="A106" s="592"/>
      <c r="B106" s="588"/>
      <c r="C106" s="238" t="s">
        <v>258</v>
      </c>
      <c r="D106" s="241" t="str">
        <f>IF(E106&lt;E105,"cumple","no cumple")</f>
        <v>cumple</v>
      </c>
      <c r="E106" s="239">
        <f>1000*E42/E99</f>
        <v>0.65572976778665548</v>
      </c>
      <c r="F106" s="430" t="s">
        <v>257</v>
      </c>
      <c r="G106" s="438">
        <f>1000*G42/G99</f>
        <v>0.65572976778665548</v>
      </c>
      <c r="H106" s="157">
        <f>G106-E106</f>
        <v>0</v>
      </c>
      <c r="I106" s="19"/>
      <c r="J106" s="65"/>
      <c r="K106" s="67"/>
      <c r="L106" s="64"/>
      <c r="M106" s="64"/>
      <c r="N106" s="64"/>
    </row>
    <row r="107" spans="1:14" ht="15" customHeight="1" x14ac:dyDescent="0.25">
      <c r="G107" s="64"/>
      <c r="H107" s="64"/>
      <c r="I107" s="64"/>
      <c r="J107" s="64"/>
      <c r="K107" s="64"/>
      <c r="L107" s="64"/>
      <c r="M107" s="64"/>
      <c r="N107" s="64"/>
    </row>
    <row r="108" spans="1:14" ht="15" customHeight="1" x14ac:dyDescent="0.25">
      <c r="C108" s="658" t="s">
        <v>410</v>
      </c>
      <c r="D108" s="659"/>
      <c r="E108"/>
      <c r="F108"/>
      <c r="G108" s="64"/>
      <c r="H108" s="64"/>
      <c r="I108" s="64"/>
      <c r="J108" s="64"/>
      <c r="K108" s="64"/>
      <c r="L108" s="64"/>
      <c r="M108" s="64"/>
      <c r="N108" s="64"/>
    </row>
    <row r="109" spans="1:14" ht="15" customHeight="1" x14ac:dyDescent="0.25">
      <c r="C109" s="654" t="s">
        <v>419</v>
      </c>
      <c r="D109" s="656"/>
      <c r="E109" s="653"/>
      <c r="F109" s="653"/>
      <c r="G109" s="64"/>
      <c r="H109" s="64"/>
      <c r="I109" s="64"/>
      <c r="J109" s="64"/>
      <c r="K109" s="64"/>
      <c r="L109" s="64"/>
      <c r="M109" s="64"/>
      <c r="N109" s="64"/>
    </row>
    <row r="110" spans="1:14" ht="15" customHeight="1" x14ac:dyDescent="0.25">
      <c r="C110" s="654" t="s">
        <v>420</v>
      </c>
      <c r="D110" s="656"/>
      <c r="E110" s="653"/>
      <c r="F110" s="653"/>
      <c r="G110" s="64"/>
      <c r="H110" s="64"/>
      <c r="I110" s="64"/>
      <c r="J110" s="64"/>
      <c r="K110" s="64"/>
      <c r="L110" s="64"/>
      <c r="M110" s="64"/>
      <c r="N110" s="64"/>
    </row>
    <row r="111" spans="1:14" ht="15" customHeight="1" x14ac:dyDescent="0.25">
      <c r="C111" s="654" t="s">
        <v>421</v>
      </c>
      <c r="D111" s="655"/>
      <c r="E111" s="655"/>
      <c r="F111" s="655"/>
    </row>
    <row r="112" spans="1:14" ht="15" customHeight="1" x14ac:dyDescent="0.25">
      <c r="C112" s="654" t="s">
        <v>422</v>
      </c>
      <c r="D112" s="656"/>
      <c r="E112" s="653"/>
      <c r="F112" s="653"/>
    </row>
    <row r="113" spans="3:6" ht="15" customHeight="1" x14ac:dyDescent="0.25">
      <c r="C113" s="654" t="s">
        <v>411</v>
      </c>
      <c r="D113" s="656"/>
      <c r="E113" s="653"/>
      <c r="F113" s="653"/>
    </row>
    <row r="114" spans="3:6" ht="15" x14ac:dyDescent="0.25">
      <c r="C114" s="654" t="s">
        <v>443</v>
      </c>
      <c r="D114" s="653"/>
      <c r="E114" s="653"/>
      <c r="F114" s="653"/>
    </row>
    <row r="115" spans="3:6" ht="15" customHeight="1" x14ac:dyDescent="0.25">
      <c r="C115" s="654" t="s">
        <v>412</v>
      </c>
      <c r="D115" s="653"/>
      <c r="E115" s="653"/>
      <c r="F115" s="653"/>
    </row>
    <row r="116" spans="3:6" ht="15" customHeight="1" x14ac:dyDescent="0.25">
      <c r="C116" s="654" t="s">
        <v>433</v>
      </c>
      <c r="D116" s="653"/>
      <c r="E116" s="653"/>
      <c r="F116" s="653"/>
    </row>
    <row r="117" spans="3:6" ht="14.25" customHeight="1" x14ac:dyDescent="0.25">
      <c r="C117" s="654" t="s">
        <v>434</v>
      </c>
      <c r="D117" s="653"/>
      <c r="E117" s="653"/>
      <c r="F117" s="653"/>
    </row>
    <row r="118" spans="3:6" ht="15" customHeight="1" x14ac:dyDescent="0.25">
      <c r="C118" s="654" t="s">
        <v>424</v>
      </c>
      <c r="D118" s="653"/>
      <c r="E118" s="653"/>
      <c r="F118" s="653"/>
    </row>
    <row r="119" spans="3:6" ht="15" customHeight="1" x14ac:dyDescent="0.25">
      <c r="C119" s="654" t="s">
        <v>425</v>
      </c>
      <c r="D119" s="653"/>
      <c r="E119" s="653"/>
      <c r="F119" s="653"/>
    </row>
    <row r="120" spans="3:6" ht="15" customHeight="1" x14ac:dyDescent="0.25">
      <c r="C120" s="654" t="s">
        <v>444</v>
      </c>
      <c r="D120" s="653"/>
      <c r="E120" s="653"/>
      <c r="F120" s="653"/>
    </row>
    <row r="121" spans="3:6" ht="15" customHeight="1" x14ac:dyDescent="0.25">
      <c r="C121" s="654" t="s">
        <v>426</v>
      </c>
      <c r="D121" s="653"/>
      <c r="E121" s="653"/>
      <c r="F121" s="653"/>
    </row>
    <row r="122" spans="3:6" ht="15" customHeight="1" x14ac:dyDescent="0.25">
      <c r="C122" s="654" t="s">
        <v>435</v>
      </c>
      <c r="D122" s="653"/>
      <c r="E122" s="653"/>
      <c r="F122" s="653"/>
    </row>
    <row r="123" spans="3:6" ht="15" customHeight="1" x14ac:dyDescent="0.25">
      <c r="C123" s="654" t="s">
        <v>413</v>
      </c>
      <c r="D123" s="655"/>
      <c r="E123" s="655"/>
      <c r="F123" s="655"/>
    </row>
    <row r="124" spans="3:6" ht="15" customHeight="1" x14ac:dyDescent="0.2">
      <c r="C124" s="649" t="s">
        <v>414</v>
      </c>
      <c r="D124" s="649"/>
      <c r="E124" s="649"/>
      <c r="F124" s="649"/>
    </row>
    <row r="125" spans="3:6" ht="15" customHeight="1" x14ac:dyDescent="0.25">
      <c r="C125" s="649" t="s">
        <v>415</v>
      </c>
      <c r="D125" s="652"/>
      <c r="E125" s="652"/>
      <c r="F125" s="652"/>
    </row>
    <row r="126" spans="3:6" ht="15" customHeight="1" x14ac:dyDescent="0.25">
      <c r="C126" s="649" t="s">
        <v>428</v>
      </c>
      <c r="D126" s="650"/>
      <c r="E126" s="651"/>
      <c r="F126" s="651"/>
    </row>
    <row r="127" spans="3:6" ht="15" customHeight="1" x14ac:dyDescent="0.25">
      <c r="C127" s="649" t="s">
        <v>429</v>
      </c>
      <c r="D127" s="650"/>
      <c r="E127" s="651"/>
      <c r="F127" s="651"/>
    </row>
    <row r="128" spans="3:6" ht="15" customHeight="1" x14ac:dyDescent="0.25">
      <c r="C128" s="649" t="s">
        <v>430</v>
      </c>
      <c r="D128" s="653"/>
      <c r="E128" s="653"/>
      <c r="F128" s="653"/>
    </row>
    <row r="129" spans="3:6" ht="15" customHeight="1" x14ac:dyDescent="0.25">
      <c r="C129" s="649" t="s">
        <v>416</v>
      </c>
      <c r="D129" s="651"/>
      <c r="E129" s="651"/>
      <c r="F129" s="651"/>
    </row>
    <row r="130" spans="3:6" ht="15" customHeight="1" x14ac:dyDescent="0.25">
      <c r="C130" s="649" t="s">
        <v>436</v>
      </c>
      <c r="D130" s="650"/>
      <c r="E130" s="651"/>
      <c r="F130" s="651"/>
    </row>
  </sheetData>
  <mergeCells count="25">
    <mergeCell ref="B57:B58"/>
    <mergeCell ref="C130:F130"/>
    <mergeCell ref="C112:F112"/>
    <mergeCell ref="C113:F113"/>
    <mergeCell ref="C115:F115"/>
    <mergeCell ref="C116:F116"/>
    <mergeCell ref="C117:F117"/>
    <mergeCell ref="C114:F114"/>
    <mergeCell ref="C128:F128"/>
    <mergeCell ref="C129:F129"/>
    <mergeCell ref="C118:F118"/>
    <mergeCell ref="C119:F119"/>
    <mergeCell ref="C120:F120"/>
    <mergeCell ref="C121:F121"/>
    <mergeCell ref="C122:F122"/>
    <mergeCell ref="C124:F124"/>
    <mergeCell ref="C125:F125"/>
    <mergeCell ref="C126:F126"/>
    <mergeCell ref="C127:F127"/>
    <mergeCell ref="C123:F123"/>
    <mergeCell ref="C41:D42"/>
    <mergeCell ref="C108:D108"/>
    <mergeCell ref="C109:F109"/>
    <mergeCell ref="C110:F110"/>
    <mergeCell ref="C111:F111"/>
  </mergeCells>
  <pageMargins left="0.7" right="0.7" top="0.75" bottom="0.75" header="0.3" footer="0.3"/>
  <pageSetup paperSize="9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B66F6-59BC-4F85-9291-475D74B478DE}">
  <dimension ref="A1:H63"/>
  <sheetViews>
    <sheetView showGridLines="0" topLeftCell="B1" zoomScale="75" zoomScaleNormal="75" workbookViewId="0">
      <selection activeCell="F60" sqref="F60"/>
    </sheetView>
  </sheetViews>
  <sheetFormatPr baseColWidth="10" defaultRowHeight="15" x14ac:dyDescent="0.25"/>
  <cols>
    <col min="1" max="1" width="23" customWidth="1"/>
    <col min="2" max="2" width="46.42578125" customWidth="1"/>
    <col min="3" max="3" width="47.42578125" customWidth="1"/>
    <col min="4" max="4" width="11.42578125" customWidth="1"/>
    <col min="5" max="5" width="10.7109375" customWidth="1"/>
    <col min="6" max="6" width="26.28515625" customWidth="1"/>
    <col min="7" max="7" width="12.42578125" customWidth="1"/>
    <col min="8" max="8" width="13.140625" customWidth="1"/>
  </cols>
  <sheetData>
    <row r="1" spans="1:8" ht="15.75" x14ac:dyDescent="0.25">
      <c r="B1" s="87"/>
      <c r="C1" s="159" t="s">
        <v>109</v>
      </c>
      <c r="D1" s="160"/>
      <c r="E1" s="83"/>
    </row>
    <row r="2" spans="1:8" x14ac:dyDescent="0.25">
      <c r="B2" s="87"/>
      <c r="C2" s="631" t="s">
        <v>380</v>
      </c>
      <c r="D2" s="638"/>
      <c r="E2" s="83"/>
    </row>
    <row r="3" spans="1:8" x14ac:dyDescent="0.25">
      <c r="B3" s="87"/>
      <c r="C3" s="632" t="s">
        <v>77</v>
      </c>
      <c r="D3" s="639"/>
      <c r="E3" s="83"/>
    </row>
    <row r="4" spans="1:8" x14ac:dyDescent="0.25">
      <c r="B4" s="87"/>
      <c r="C4" s="633" t="s">
        <v>136</v>
      </c>
      <c r="D4" s="640"/>
      <c r="E4" s="83"/>
    </row>
    <row r="5" spans="1:8" x14ac:dyDescent="0.25">
      <c r="B5" s="87"/>
      <c r="C5" s="634" t="s">
        <v>189</v>
      </c>
      <c r="D5" s="641"/>
      <c r="E5" s="83"/>
    </row>
    <row r="6" spans="1:8" x14ac:dyDescent="0.25">
      <c r="B6" s="87"/>
      <c r="C6" s="635" t="s">
        <v>381</v>
      </c>
      <c r="D6" s="642"/>
      <c r="E6" s="83"/>
    </row>
    <row r="7" spans="1:8" x14ac:dyDescent="0.25">
      <c r="B7" s="87"/>
      <c r="C7" s="27" t="s">
        <v>190</v>
      </c>
      <c r="D7" s="643"/>
      <c r="E7" s="83"/>
    </row>
    <row r="8" spans="1:8" x14ac:dyDescent="0.25">
      <c r="B8" s="87"/>
      <c r="C8" s="636" t="s">
        <v>57</v>
      </c>
      <c r="D8" s="644"/>
      <c r="E8" s="83"/>
    </row>
    <row r="9" spans="1:8" x14ac:dyDescent="0.25">
      <c r="B9" s="87"/>
      <c r="C9" s="637" t="s">
        <v>137</v>
      </c>
      <c r="D9" s="645"/>
      <c r="E9" s="83"/>
    </row>
    <row r="10" spans="1:8" x14ac:dyDescent="0.25">
      <c r="B10" s="87"/>
      <c r="C10" s="90" t="s">
        <v>191</v>
      </c>
      <c r="D10" s="92"/>
      <c r="E10" s="83"/>
    </row>
    <row r="11" spans="1:8" ht="30.75" customHeight="1" x14ac:dyDescent="0.25">
      <c r="A11" s="393" t="s">
        <v>441</v>
      </c>
      <c r="B11" s="582" t="s">
        <v>138</v>
      </c>
      <c r="C11" s="90"/>
      <c r="D11" s="2"/>
      <c r="E11" s="2"/>
      <c r="F11" s="15"/>
      <c r="G11" s="393" t="s">
        <v>139</v>
      </c>
      <c r="H11" s="394" t="s">
        <v>140</v>
      </c>
    </row>
    <row r="12" spans="1:8" ht="22.5" customHeight="1" x14ac:dyDescent="0.25">
      <c r="A12" s="1"/>
      <c r="B12" s="89"/>
      <c r="C12" s="664" t="s">
        <v>483</v>
      </c>
      <c r="D12" s="665"/>
      <c r="E12" s="665"/>
      <c r="F12" s="665"/>
      <c r="G12" s="483"/>
      <c r="H12" s="484"/>
    </row>
    <row r="13" spans="1:8" ht="15" customHeight="1" x14ac:dyDescent="0.25">
      <c r="A13" s="1"/>
      <c r="B13" s="583"/>
      <c r="C13" s="618" t="s">
        <v>478</v>
      </c>
      <c r="D13" s="9"/>
      <c r="E13" s="48"/>
      <c r="F13" s="11"/>
      <c r="G13" s="493"/>
      <c r="H13" s="15"/>
    </row>
    <row r="14" spans="1:8" ht="15" customHeight="1" x14ac:dyDescent="0.25">
      <c r="A14" s="1"/>
      <c r="B14" s="588" t="s">
        <v>359</v>
      </c>
      <c r="C14" s="16" t="s">
        <v>481</v>
      </c>
      <c r="D14" s="313"/>
      <c r="E14" s="31">
        <f>'Parrilla Nitrificación Parcial'!F66</f>
        <v>9.9137704949999996</v>
      </c>
      <c r="F14" s="519" t="s">
        <v>0</v>
      </c>
      <c r="G14" s="442">
        <f>'Parrilla Nitrificación Parcial'!G66</f>
        <v>9.9137704949999996</v>
      </c>
      <c r="H14" s="157">
        <f t="shared" ref="H14" si="0">G14-E14</f>
        <v>0</v>
      </c>
    </row>
    <row r="15" spans="1:8" ht="15" customHeight="1" x14ac:dyDescent="0.25">
      <c r="A15" s="1"/>
      <c r="B15" s="588" t="s">
        <v>474</v>
      </c>
      <c r="C15" s="16" t="s">
        <v>482</v>
      </c>
      <c r="D15" s="313"/>
      <c r="E15" s="31">
        <f>'Tuberías Varias'!E5</f>
        <v>8.5999662091110523</v>
      </c>
      <c r="F15" s="519" t="s">
        <v>0</v>
      </c>
      <c r="G15" s="442">
        <f>'Tuberías Varias'!G5</f>
        <v>8.5999662091091089</v>
      </c>
      <c r="H15" s="157">
        <f t="shared" ref="H15:H19" si="1">G15-E15</f>
        <v>-1.943334382303874E-12</v>
      </c>
    </row>
    <row r="16" spans="1:8" ht="15" customHeight="1" x14ac:dyDescent="0.25">
      <c r="A16" s="1"/>
      <c r="B16" s="588"/>
      <c r="C16" s="16" t="s">
        <v>485</v>
      </c>
      <c r="D16" s="620">
        <f>E16/'Planta MBBR'!E68</f>
        <v>0.42213119649094982</v>
      </c>
      <c r="E16" s="31">
        <f>1000*'Planta MBBR'!E60/('Lecho de Secado'!E14*60)</f>
        <v>5.4469689435754889</v>
      </c>
      <c r="F16" s="519" t="s">
        <v>26</v>
      </c>
      <c r="G16" s="619">
        <f>1000*'Planta MBBR'!G60/('Lecho de Secado'!G14*60)</f>
        <v>5.4469689435754889</v>
      </c>
      <c r="H16" s="157">
        <f>G16-E16</f>
        <v>0</v>
      </c>
    </row>
    <row r="17" spans="1:8" ht="15" customHeight="1" x14ac:dyDescent="0.25">
      <c r="A17" s="1"/>
      <c r="B17" s="588"/>
      <c r="C17" s="16" t="s">
        <v>486</v>
      </c>
      <c r="D17" s="620">
        <f>1-D16</f>
        <v>0.57786880350905023</v>
      </c>
      <c r="E17" s="31">
        <f>'Planta MBBR'!E68-'Lecho de Secado'!E16</f>
        <v>7.4565288051209118</v>
      </c>
      <c r="F17" s="519" t="s">
        <v>26</v>
      </c>
      <c r="G17" s="619">
        <f>'Planta MBBR'!G68-'Lecho de Secado'!G16</f>
        <v>7.4565288051209118</v>
      </c>
      <c r="H17" s="157">
        <f>G17-E17</f>
        <v>0</v>
      </c>
    </row>
    <row r="18" spans="1:8" ht="15" customHeight="1" x14ac:dyDescent="0.25">
      <c r="A18" s="1"/>
      <c r="B18" s="588"/>
      <c r="C18" s="16" t="s">
        <v>476</v>
      </c>
      <c r="D18" s="620">
        <f>E18/E14</f>
        <v>0.13252316931802721</v>
      </c>
      <c r="E18" s="31">
        <f>E14-E15</f>
        <v>1.3138042858889474</v>
      </c>
      <c r="F18" s="519" t="s">
        <v>0</v>
      </c>
      <c r="G18" s="442">
        <f>'Parrilla Nitrificación Parcial'!G66-G15</f>
        <v>1.3138042858908907</v>
      </c>
      <c r="H18" s="157">
        <f t="shared" si="1"/>
        <v>1.943334382303874E-12</v>
      </c>
    </row>
    <row r="19" spans="1:8" ht="15" customHeight="1" x14ac:dyDescent="0.25">
      <c r="A19" s="1"/>
      <c r="B19" s="588"/>
      <c r="C19" s="16" t="s">
        <v>484</v>
      </c>
      <c r="D19" s="620"/>
      <c r="E19" s="77">
        <f>0.001*E18/(0.25*3.14*(0.0254*'Tuberías Varias'!E21)^2)</f>
        <v>0.28823789326670923</v>
      </c>
      <c r="F19" s="319" t="s">
        <v>9</v>
      </c>
      <c r="G19" s="619">
        <f>0.001*G18/(0.25*3.14*(0.0254*'Tuberías Varias'!G21)^2)</f>
        <v>0.28823789326713561</v>
      </c>
      <c r="H19" s="157">
        <f t="shared" si="1"/>
        <v>4.2638115260729137E-13</v>
      </c>
    </row>
    <row r="20" spans="1:8" ht="15" customHeight="1" x14ac:dyDescent="0.25">
      <c r="A20" s="1"/>
      <c r="B20" s="583"/>
      <c r="C20" s="618" t="s">
        <v>479</v>
      </c>
      <c r="D20" s="9"/>
      <c r="E20" s="48"/>
      <c r="F20" s="11"/>
      <c r="G20" s="493"/>
      <c r="H20" s="15"/>
    </row>
    <row r="21" spans="1:8" ht="15" customHeight="1" x14ac:dyDescent="0.25">
      <c r="A21" s="1"/>
      <c r="B21" s="589" t="s">
        <v>446</v>
      </c>
      <c r="C21" s="256" t="s">
        <v>394</v>
      </c>
      <c r="D21" s="257" t="s">
        <v>265</v>
      </c>
      <c r="E21" s="258">
        <f>'Planta MBBR'!E16</f>
        <v>34.214400000000005</v>
      </c>
      <c r="F21" s="624" t="s">
        <v>262</v>
      </c>
      <c r="G21" s="619">
        <f>'Planta MBBR'!G16</f>
        <v>34.214400000000005</v>
      </c>
      <c r="H21" s="157">
        <f t="shared" ref="H21:H36" si="2">G21-E21</f>
        <v>0</v>
      </c>
    </row>
    <row r="22" spans="1:8" ht="15" customHeight="1" x14ac:dyDescent="0.25">
      <c r="A22" s="1"/>
      <c r="B22" s="646" t="s">
        <v>449</v>
      </c>
      <c r="C22" s="265" t="s">
        <v>266</v>
      </c>
      <c r="D22" s="266" t="s">
        <v>280</v>
      </c>
      <c r="E22" s="267">
        <v>0.67</v>
      </c>
      <c r="F22" s="625"/>
      <c r="G22" s="619">
        <v>0.67</v>
      </c>
      <c r="H22" s="157">
        <f t="shared" si="2"/>
        <v>0</v>
      </c>
    </row>
    <row r="23" spans="1:8" ht="15" customHeight="1" x14ac:dyDescent="0.25">
      <c r="A23" s="1"/>
      <c r="B23" s="646" t="str">
        <f>$B$22</f>
        <v>Jairo Alberto Romero (Ref. D-15)</v>
      </c>
      <c r="C23" s="265" t="s">
        <v>267</v>
      </c>
      <c r="D23" s="266" t="s">
        <v>268</v>
      </c>
      <c r="E23" s="267">
        <v>0.06</v>
      </c>
      <c r="F23" s="268" t="s">
        <v>269</v>
      </c>
      <c r="G23" s="31">
        <v>0.06</v>
      </c>
      <c r="H23" s="157">
        <f t="shared" si="2"/>
        <v>0</v>
      </c>
    </row>
    <row r="24" spans="1:8" ht="15" customHeight="1" x14ac:dyDescent="0.25">
      <c r="A24" s="1"/>
      <c r="B24" s="646" t="s">
        <v>272</v>
      </c>
      <c r="C24" s="265" t="s">
        <v>41</v>
      </c>
      <c r="D24" s="269"/>
      <c r="E24" s="270">
        <v>60</v>
      </c>
      <c r="F24" s="268" t="s">
        <v>270</v>
      </c>
      <c r="G24" s="485">
        <v>60</v>
      </c>
      <c r="H24" s="157">
        <f t="shared" si="2"/>
        <v>0</v>
      </c>
    </row>
    <row r="25" spans="1:8" ht="15" customHeight="1" x14ac:dyDescent="0.25">
      <c r="A25" s="1"/>
      <c r="B25" s="646" t="s">
        <v>453</v>
      </c>
      <c r="C25" s="194" t="s">
        <v>362</v>
      </c>
      <c r="D25" s="262" t="s">
        <v>271</v>
      </c>
      <c r="E25" s="196">
        <f>E22*E21/(1+E23*E24)</f>
        <v>4.9834017391304357</v>
      </c>
      <c r="F25" s="197" t="s">
        <v>263</v>
      </c>
      <c r="G25" s="31">
        <f>G22*G21/(1+G23*G24)</f>
        <v>4.9834017391304357</v>
      </c>
      <c r="H25" s="157">
        <f t="shared" si="2"/>
        <v>0</v>
      </c>
    </row>
    <row r="26" spans="1:8" ht="15" customHeight="1" x14ac:dyDescent="0.25">
      <c r="A26" s="1"/>
      <c r="B26" s="589" t="s">
        <v>446</v>
      </c>
      <c r="C26" s="271" t="s">
        <v>281</v>
      </c>
      <c r="D26" s="304"/>
      <c r="E26" s="272">
        <f>'Planta MBBR'!E34</f>
        <v>5.598720000000001</v>
      </c>
      <c r="F26" s="273" t="s">
        <v>118</v>
      </c>
      <c r="G26" s="31">
        <f>'Planta MBBR'!G34</f>
        <v>5.598720000000001</v>
      </c>
      <c r="H26" s="157">
        <f t="shared" si="2"/>
        <v>0</v>
      </c>
    </row>
    <row r="27" spans="1:8" ht="15" customHeight="1" x14ac:dyDescent="0.25">
      <c r="A27" s="1"/>
      <c r="B27" s="647" t="s">
        <v>488</v>
      </c>
      <c r="C27" s="275" t="s">
        <v>282</v>
      </c>
      <c r="D27" s="266" t="s">
        <v>283</v>
      </c>
      <c r="E27" s="276">
        <v>1</v>
      </c>
      <c r="F27" s="277" t="s">
        <v>284</v>
      </c>
      <c r="G27" s="486">
        <v>1</v>
      </c>
      <c r="H27" s="157">
        <f t="shared" si="2"/>
        <v>0</v>
      </c>
    </row>
    <row r="28" spans="1:8" ht="15" customHeight="1" x14ac:dyDescent="0.25">
      <c r="A28" s="1"/>
      <c r="B28" s="646"/>
      <c r="C28" s="212" t="s">
        <v>285</v>
      </c>
      <c r="D28" s="262" t="s">
        <v>283</v>
      </c>
      <c r="E28" s="196">
        <f>E26*E27</f>
        <v>5.598720000000001</v>
      </c>
      <c r="F28" s="229" t="s">
        <v>286</v>
      </c>
      <c r="G28" s="31">
        <f>G26*G27</f>
        <v>5.598720000000001</v>
      </c>
      <c r="H28" s="157">
        <f t="shared" si="2"/>
        <v>0</v>
      </c>
    </row>
    <row r="29" spans="1:8" ht="15" customHeight="1" x14ac:dyDescent="0.25">
      <c r="A29" s="1"/>
      <c r="B29" s="646"/>
      <c r="C29" s="194" t="s">
        <v>287</v>
      </c>
      <c r="D29" s="262" t="s">
        <v>288</v>
      </c>
      <c r="E29" s="196">
        <f>E25+E28</f>
        <v>10.582121739130436</v>
      </c>
      <c r="F29" s="197" t="s">
        <v>263</v>
      </c>
      <c r="G29" s="31">
        <f>G25+G28</f>
        <v>10.582121739130436</v>
      </c>
      <c r="H29" s="157">
        <f t="shared" si="2"/>
        <v>0</v>
      </c>
    </row>
    <row r="30" spans="1:8" ht="15" customHeight="1" x14ac:dyDescent="0.25">
      <c r="A30" s="1"/>
      <c r="B30" s="646" t="str">
        <f>$B$22</f>
        <v>Jairo Alberto Romero (Ref. D-15)</v>
      </c>
      <c r="C30" s="265" t="s">
        <v>264</v>
      </c>
      <c r="D30" s="266"/>
      <c r="E30" s="270">
        <v>7</v>
      </c>
      <c r="F30" s="268" t="s">
        <v>22</v>
      </c>
      <c r="G30" s="485">
        <v>7</v>
      </c>
      <c r="H30" s="157">
        <f t="shared" si="2"/>
        <v>0</v>
      </c>
    </row>
    <row r="31" spans="1:8" ht="15" customHeight="1" x14ac:dyDescent="0.25">
      <c r="A31" s="1"/>
      <c r="B31" s="646" t="s">
        <v>450</v>
      </c>
      <c r="C31" s="265" t="s">
        <v>289</v>
      </c>
      <c r="D31" s="266"/>
      <c r="E31" s="267">
        <v>0.2</v>
      </c>
      <c r="F31" s="268" t="s">
        <v>4</v>
      </c>
      <c r="G31" s="31">
        <v>0.2</v>
      </c>
      <c r="H31" s="157">
        <f t="shared" si="2"/>
        <v>0</v>
      </c>
    </row>
    <row r="32" spans="1:8" ht="15" customHeight="1" x14ac:dyDescent="0.25">
      <c r="A32" s="1"/>
      <c r="B32" s="279" t="s">
        <v>451</v>
      </c>
      <c r="C32" s="265" t="s">
        <v>316</v>
      </c>
      <c r="D32" s="266"/>
      <c r="E32" s="270">
        <f>2*147.85</f>
        <v>295.7</v>
      </c>
      <c r="F32" s="268" t="s">
        <v>317</v>
      </c>
      <c r="G32" s="485">
        <f>2*147.85</f>
        <v>295.7</v>
      </c>
      <c r="H32" s="157">
        <f t="shared" si="2"/>
        <v>0</v>
      </c>
    </row>
    <row r="33" spans="1:8" ht="15" customHeight="1" x14ac:dyDescent="0.25">
      <c r="A33" s="1"/>
      <c r="B33" s="646"/>
      <c r="C33" s="191" t="s">
        <v>318</v>
      </c>
      <c r="D33" s="278"/>
      <c r="E33" s="53">
        <f>365*E29/E32</f>
        <v>13.062138771669291</v>
      </c>
      <c r="F33" s="192" t="s">
        <v>3</v>
      </c>
      <c r="G33" s="53">
        <f>365*G29/G32</f>
        <v>13.062138771669291</v>
      </c>
      <c r="H33" s="157">
        <f t="shared" si="2"/>
        <v>0</v>
      </c>
    </row>
    <row r="34" spans="1:8" ht="15" customHeight="1" x14ac:dyDescent="0.25">
      <c r="A34" s="1"/>
      <c r="B34" s="646"/>
      <c r="C34" s="20" t="s">
        <v>23</v>
      </c>
      <c r="D34" s="56"/>
      <c r="E34" s="32">
        <v>1</v>
      </c>
      <c r="F34" s="33" t="s">
        <v>24</v>
      </c>
      <c r="G34" s="485">
        <v>1</v>
      </c>
      <c r="H34" s="157">
        <f t="shared" si="2"/>
        <v>0</v>
      </c>
    </row>
    <row r="35" spans="1:8" ht="15" customHeight="1" x14ac:dyDescent="0.25">
      <c r="A35" s="1"/>
      <c r="B35" s="646"/>
      <c r="C35" s="20" t="s">
        <v>44</v>
      </c>
      <c r="D35" s="56"/>
      <c r="E35" s="50">
        <v>6</v>
      </c>
      <c r="F35" s="33" t="s">
        <v>4</v>
      </c>
      <c r="G35" s="31">
        <v>6</v>
      </c>
      <c r="H35" s="157">
        <f t="shared" si="2"/>
        <v>0</v>
      </c>
    </row>
    <row r="36" spans="1:8" ht="15" customHeight="1" x14ac:dyDescent="0.25">
      <c r="A36" s="1"/>
      <c r="B36" s="646"/>
      <c r="C36" s="20" t="s">
        <v>290</v>
      </c>
      <c r="D36" s="56"/>
      <c r="E36" s="50">
        <v>2.4</v>
      </c>
      <c r="F36" s="33" t="s">
        <v>4</v>
      </c>
      <c r="G36" s="31">
        <v>2.4</v>
      </c>
      <c r="H36" s="157">
        <f t="shared" si="2"/>
        <v>0</v>
      </c>
    </row>
    <row r="37" spans="1:8" ht="15" customHeight="1" x14ac:dyDescent="0.25">
      <c r="A37" s="1"/>
      <c r="B37" s="646"/>
      <c r="C37" s="194" t="s">
        <v>320</v>
      </c>
      <c r="D37" s="210" t="str">
        <f>IF(E37&gt;E33,"suficiente","insuficiente")</f>
        <v>suficiente</v>
      </c>
      <c r="E37" s="196">
        <f>E35*E36</f>
        <v>14.399999999999999</v>
      </c>
      <c r="F37" s="197" t="s">
        <v>3</v>
      </c>
      <c r="G37" s="31">
        <f>G35*G36</f>
        <v>14.399999999999999</v>
      </c>
      <c r="H37" s="157">
        <f t="shared" ref="H37:H49" si="3">G37-E37</f>
        <v>0</v>
      </c>
    </row>
    <row r="38" spans="1:8" ht="15" customHeight="1" x14ac:dyDescent="0.25">
      <c r="A38" s="1"/>
      <c r="B38" s="279"/>
      <c r="C38" s="3" t="s">
        <v>319</v>
      </c>
      <c r="D38" s="38"/>
      <c r="E38" s="31">
        <f>E34*E37</f>
        <v>14.399999999999999</v>
      </c>
      <c r="F38" s="5" t="s">
        <v>3</v>
      </c>
      <c r="G38" s="31">
        <f>G34*G37</f>
        <v>14.399999999999999</v>
      </c>
      <c r="H38" s="157">
        <f t="shared" si="3"/>
        <v>0</v>
      </c>
    </row>
    <row r="39" spans="1:8" ht="15" customHeight="1" x14ac:dyDescent="0.25">
      <c r="A39" s="1"/>
      <c r="B39" s="583"/>
      <c r="C39" s="618" t="s">
        <v>480</v>
      </c>
      <c r="D39" s="9"/>
      <c r="E39" s="48"/>
      <c r="F39" s="11"/>
      <c r="G39" s="493"/>
      <c r="H39" s="15"/>
    </row>
    <row r="40" spans="1:8" ht="15" customHeight="1" x14ac:dyDescent="0.25">
      <c r="A40" s="1"/>
      <c r="B40" s="646" t="s">
        <v>291</v>
      </c>
      <c r="C40" s="34" t="s">
        <v>292</v>
      </c>
      <c r="D40" s="266"/>
      <c r="E40" s="267">
        <v>7</v>
      </c>
      <c r="F40" s="268" t="s">
        <v>22</v>
      </c>
      <c r="G40" s="31">
        <v>7</v>
      </c>
      <c r="H40" s="157">
        <f t="shared" si="3"/>
        <v>0</v>
      </c>
    </row>
    <row r="41" spans="1:8" ht="15" customHeight="1" x14ac:dyDescent="0.25">
      <c r="A41" s="1"/>
      <c r="B41" s="646"/>
      <c r="C41" s="3" t="s">
        <v>293</v>
      </c>
      <c r="D41" s="38"/>
      <c r="E41" s="40">
        <f>1000*E31*E37</f>
        <v>2879.9999999999995</v>
      </c>
      <c r="F41" s="5" t="s">
        <v>52</v>
      </c>
      <c r="G41" s="40">
        <f>1000*G31*G37</f>
        <v>2879.9999999999995</v>
      </c>
      <c r="H41" s="157">
        <f t="shared" si="3"/>
        <v>0</v>
      </c>
    </row>
    <row r="42" spans="1:8" ht="15" customHeight="1" x14ac:dyDescent="0.25">
      <c r="A42" s="1"/>
      <c r="B42" s="646" t="s">
        <v>452</v>
      </c>
      <c r="C42" s="280" t="s">
        <v>294</v>
      </c>
      <c r="D42" s="57" t="s">
        <v>295</v>
      </c>
      <c r="E42" s="281">
        <v>0.35</v>
      </c>
      <c r="F42" s="282"/>
      <c r="G42" s="281">
        <v>0.35</v>
      </c>
      <c r="H42" s="157">
        <f t="shared" si="3"/>
        <v>0</v>
      </c>
    </row>
    <row r="43" spans="1:8" ht="15" customHeight="1" x14ac:dyDescent="0.25">
      <c r="A43" s="1"/>
      <c r="B43" s="646"/>
      <c r="C43" s="280" t="s">
        <v>296</v>
      </c>
      <c r="D43" s="57"/>
      <c r="E43" s="283">
        <f>(1-E42)*E41</f>
        <v>1871.9999999999998</v>
      </c>
      <c r="F43" s="282" t="s">
        <v>52</v>
      </c>
      <c r="G43" s="283">
        <f>(1-G42)*G41</f>
        <v>1871.9999999999998</v>
      </c>
      <c r="H43" s="157">
        <f t="shared" si="3"/>
        <v>0</v>
      </c>
    </row>
    <row r="44" spans="1:8" ht="15" customHeight="1" x14ac:dyDescent="0.25">
      <c r="A44" s="1"/>
      <c r="B44" s="646" t="s">
        <v>273</v>
      </c>
      <c r="C44" s="284" t="s">
        <v>297</v>
      </c>
      <c r="D44" s="285"/>
      <c r="E44" s="286">
        <v>2</v>
      </c>
      <c r="F44" s="287" t="s">
        <v>43</v>
      </c>
      <c r="G44" s="442">
        <v>2</v>
      </c>
      <c r="H44" s="157">
        <f t="shared" si="3"/>
        <v>0</v>
      </c>
    </row>
    <row r="45" spans="1:8" ht="15" customHeight="1" x14ac:dyDescent="0.25">
      <c r="A45" s="1"/>
      <c r="B45" s="646"/>
      <c r="C45" s="288"/>
      <c r="D45" s="289"/>
      <c r="E45" s="290">
        <f>E44*3.8/60</f>
        <v>0.12666666666666665</v>
      </c>
      <c r="F45" s="291" t="s">
        <v>0</v>
      </c>
      <c r="G45" s="487">
        <f>G44*3.8/60</f>
        <v>0.12666666666666665</v>
      </c>
      <c r="H45" s="157">
        <f t="shared" si="3"/>
        <v>0</v>
      </c>
    </row>
    <row r="46" spans="1:8" ht="15" customHeight="1" x14ac:dyDescent="0.25">
      <c r="A46" s="1"/>
      <c r="B46" s="646"/>
      <c r="C46" s="20" t="s">
        <v>298</v>
      </c>
      <c r="D46" s="56"/>
      <c r="E46" s="50">
        <v>0.25</v>
      </c>
      <c r="F46" s="33"/>
      <c r="G46" s="31">
        <v>0.25</v>
      </c>
      <c r="H46" s="157">
        <f t="shared" si="3"/>
        <v>0</v>
      </c>
    </row>
    <row r="47" spans="1:8" ht="15" customHeight="1" x14ac:dyDescent="0.25">
      <c r="A47" s="1"/>
      <c r="B47" s="646"/>
      <c r="C47" s="292" t="s">
        <v>299</v>
      </c>
      <c r="D47" s="293"/>
      <c r="E47" s="294">
        <f>E43/(E46*E45*3600)</f>
        <v>16.421052631578949</v>
      </c>
      <c r="F47" s="295" t="s">
        <v>7</v>
      </c>
      <c r="G47" s="157">
        <f>G43/(G46*G45*3600)</f>
        <v>16.421052631578949</v>
      </c>
      <c r="H47" s="157">
        <f>G47-E47</f>
        <v>0</v>
      </c>
    </row>
    <row r="48" spans="1:8" ht="15" customHeight="1" x14ac:dyDescent="0.25">
      <c r="A48" s="1"/>
      <c r="B48" s="646"/>
      <c r="C48" s="296"/>
      <c r="D48" s="297"/>
      <c r="E48" s="298">
        <f>E47/24</f>
        <v>0.68421052631578949</v>
      </c>
      <c r="F48" s="299" t="s">
        <v>22</v>
      </c>
      <c r="G48" s="157">
        <f>G47/24</f>
        <v>0.68421052631578949</v>
      </c>
      <c r="H48" s="157">
        <f t="shared" ref="H48" si="4">G48-E48</f>
        <v>0</v>
      </c>
    </row>
    <row r="49" spans="1:8" ht="15" customHeight="1" x14ac:dyDescent="0.25">
      <c r="A49" s="1"/>
      <c r="B49" s="646" t="s">
        <v>273</v>
      </c>
      <c r="C49" s="34" t="s">
        <v>300</v>
      </c>
      <c r="D49" s="217"/>
      <c r="E49" s="35">
        <v>2</v>
      </c>
      <c r="F49" s="25" t="s">
        <v>49</v>
      </c>
      <c r="G49" s="31">
        <v>2</v>
      </c>
      <c r="H49" s="157">
        <f t="shared" si="3"/>
        <v>0</v>
      </c>
    </row>
    <row r="50" spans="1:8" ht="15" customHeight="1" x14ac:dyDescent="0.25">
      <c r="A50" s="1"/>
      <c r="B50" s="646"/>
      <c r="C50" s="3" t="s">
        <v>301</v>
      </c>
      <c r="D50" s="6"/>
      <c r="E50" s="45">
        <v>0.8</v>
      </c>
      <c r="F50" s="5" t="s">
        <v>4</v>
      </c>
      <c r="G50" s="45">
        <v>0.8</v>
      </c>
      <c r="H50" s="157">
        <f>G21-E21</f>
        <v>0</v>
      </c>
    </row>
    <row r="51" spans="1:8" ht="15" customHeight="1" x14ac:dyDescent="0.25">
      <c r="A51" s="1"/>
      <c r="C51" s="3" t="s">
        <v>302</v>
      </c>
      <c r="D51" s="38"/>
      <c r="E51" s="31">
        <f>E49+E50</f>
        <v>2.8</v>
      </c>
      <c r="F51" s="5" t="s">
        <v>49</v>
      </c>
      <c r="G51" s="31">
        <f>G49+G50</f>
        <v>2.8</v>
      </c>
      <c r="H51" s="157">
        <f t="shared" ref="H51:H63" si="5">G51-E51</f>
        <v>0</v>
      </c>
    </row>
    <row r="52" spans="1:8" ht="15" customHeight="1" x14ac:dyDescent="0.25">
      <c r="A52" s="1"/>
      <c r="B52" s="646"/>
      <c r="C52" s="20" t="s">
        <v>78</v>
      </c>
      <c r="D52" s="56"/>
      <c r="E52" s="50">
        <v>0.25</v>
      </c>
      <c r="F52" s="33" t="s">
        <v>4</v>
      </c>
      <c r="G52" s="31">
        <v>0.25</v>
      </c>
      <c r="H52" s="157">
        <f t="shared" si="5"/>
        <v>0</v>
      </c>
    </row>
    <row r="53" spans="1:8" ht="15" customHeight="1" x14ac:dyDescent="0.25">
      <c r="A53" s="1"/>
      <c r="B53" s="593"/>
      <c r="C53" s="194" t="s">
        <v>303</v>
      </c>
      <c r="D53" s="262"/>
      <c r="E53" s="196">
        <f>E51/E52</f>
        <v>11.2</v>
      </c>
      <c r="F53" s="197"/>
      <c r="G53" s="31">
        <f>G51/G52</f>
        <v>11.2</v>
      </c>
      <c r="H53" s="157">
        <f t="shared" si="5"/>
        <v>0</v>
      </c>
    </row>
    <row r="54" spans="1:8" ht="15" customHeight="1" x14ac:dyDescent="0.25">
      <c r="A54" s="1"/>
      <c r="B54" s="593"/>
      <c r="C54" s="618" t="s">
        <v>498</v>
      </c>
      <c r="D54" s="9"/>
      <c r="E54" s="48"/>
      <c r="F54" s="11"/>
      <c r="G54" s="493"/>
      <c r="H54" s="15"/>
    </row>
    <row r="55" spans="1:8" x14ac:dyDescent="0.25">
      <c r="A55" s="1"/>
      <c r="B55" s="646"/>
      <c r="C55" s="3" t="s">
        <v>304</v>
      </c>
      <c r="D55" s="38"/>
      <c r="E55" s="31">
        <f>E40*(E25+E28)</f>
        <v>74.074852173913058</v>
      </c>
      <c r="F55" s="5" t="s">
        <v>305</v>
      </c>
      <c r="G55" s="31">
        <f>G40*(G25+G28)</f>
        <v>74.074852173913058</v>
      </c>
      <c r="H55" s="157">
        <f t="shared" si="5"/>
        <v>0</v>
      </c>
    </row>
    <row r="56" spans="1:8" x14ac:dyDescent="0.25">
      <c r="A56" s="1"/>
      <c r="B56" s="300" t="s">
        <v>306</v>
      </c>
      <c r="C56" s="284" t="s">
        <v>307</v>
      </c>
      <c r="D56" s="285"/>
      <c r="E56" s="286">
        <v>1.5</v>
      </c>
      <c r="F56" s="287" t="s">
        <v>308</v>
      </c>
      <c r="G56" s="442">
        <v>1.5</v>
      </c>
      <c r="H56" s="157">
        <f t="shared" si="5"/>
        <v>0</v>
      </c>
    </row>
    <row r="57" spans="1:8" x14ac:dyDescent="0.25">
      <c r="A57" s="1"/>
      <c r="B57" s="646"/>
      <c r="C57" s="301"/>
      <c r="D57" s="36"/>
      <c r="E57" s="302">
        <f>E56*1000</f>
        <v>1500</v>
      </c>
      <c r="F57" s="303" t="s">
        <v>309</v>
      </c>
      <c r="G57" s="302">
        <f>G56*1000</f>
        <v>1500</v>
      </c>
      <c r="H57" s="157">
        <f t="shared" si="5"/>
        <v>0</v>
      </c>
    </row>
    <row r="58" spans="1:8" x14ac:dyDescent="0.25">
      <c r="A58" s="1"/>
      <c r="B58" s="583"/>
      <c r="C58" s="22" t="s">
        <v>310</v>
      </c>
      <c r="D58" s="261"/>
      <c r="E58" s="51">
        <v>3</v>
      </c>
      <c r="F58" s="24" t="s">
        <v>33</v>
      </c>
      <c r="G58" s="31">
        <v>3</v>
      </c>
      <c r="H58" s="157">
        <f>G58-E58</f>
        <v>0</v>
      </c>
    </row>
    <row r="59" spans="1:8" x14ac:dyDescent="0.25">
      <c r="A59" s="1"/>
      <c r="B59" s="646"/>
      <c r="C59" s="191" t="s">
        <v>311</v>
      </c>
      <c r="D59" s="278"/>
      <c r="E59" s="76">
        <f>0.01*E58*E37</f>
        <v>0.43199999999999994</v>
      </c>
      <c r="F59" s="192" t="s">
        <v>2</v>
      </c>
      <c r="G59" s="76">
        <f>0.01*G58*G37</f>
        <v>0.43199999999999994</v>
      </c>
      <c r="H59" s="157">
        <f t="shared" si="5"/>
        <v>0</v>
      </c>
    </row>
    <row r="60" spans="1:8" x14ac:dyDescent="0.25">
      <c r="A60" s="1"/>
      <c r="B60" s="646"/>
      <c r="C60" s="191" t="s">
        <v>312</v>
      </c>
      <c r="D60" s="278"/>
      <c r="E60" s="305">
        <f>E57*E59</f>
        <v>647.99999999999989</v>
      </c>
      <c r="F60" s="192" t="s">
        <v>305</v>
      </c>
      <c r="G60" s="305">
        <f>G57*G59</f>
        <v>647.99999999999989</v>
      </c>
      <c r="H60" s="157">
        <f t="shared" si="5"/>
        <v>0</v>
      </c>
    </row>
    <row r="61" spans="1:8" x14ac:dyDescent="0.25">
      <c r="A61" s="1"/>
      <c r="B61" s="646"/>
      <c r="C61" s="280" t="s">
        <v>313</v>
      </c>
      <c r="D61" s="57"/>
      <c r="E61" s="283">
        <f>E55+E60</f>
        <v>722.07485217391297</v>
      </c>
      <c r="F61" s="282" t="s">
        <v>305</v>
      </c>
      <c r="G61" s="283">
        <f>G55+G60</f>
        <v>722.07485217391297</v>
      </c>
      <c r="H61" s="157">
        <f t="shared" si="5"/>
        <v>0</v>
      </c>
    </row>
    <row r="62" spans="1:8" x14ac:dyDescent="0.25">
      <c r="A62" s="1"/>
      <c r="B62" s="646"/>
      <c r="C62" s="280" t="s">
        <v>314</v>
      </c>
      <c r="D62" s="57"/>
      <c r="E62" s="283">
        <f>E61*(1-E42)</f>
        <v>469.34865391304345</v>
      </c>
      <c r="F62" s="282" t="s">
        <v>305</v>
      </c>
      <c r="G62" s="283">
        <f>G61*(1-G42)</f>
        <v>469.34865391304345</v>
      </c>
      <c r="H62" s="157">
        <f t="shared" si="5"/>
        <v>0</v>
      </c>
    </row>
    <row r="63" spans="1:8" x14ac:dyDescent="0.25">
      <c r="A63" s="1"/>
      <c r="B63" s="646"/>
      <c r="C63" s="191" t="s">
        <v>315</v>
      </c>
      <c r="D63" s="278"/>
      <c r="E63" s="488">
        <f>E55+E60+E62</f>
        <v>1191.4235060869564</v>
      </c>
      <c r="F63" s="192" t="s">
        <v>305</v>
      </c>
      <c r="G63" s="488">
        <f>G55+G60+G62</f>
        <v>1191.4235060869564</v>
      </c>
      <c r="H63" s="157">
        <f t="shared" si="5"/>
        <v>0</v>
      </c>
    </row>
  </sheetData>
  <mergeCells count="1">
    <mergeCell ref="C12:F12"/>
  </mergeCells>
  <hyperlinks>
    <hyperlink ref="B56" r:id="rId1" xr:uid="{0D382F38-D10E-46FD-A5F2-B790DD85C39B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BEE8-6B91-497D-B046-F768DA8B881E}">
  <dimension ref="B3:I48"/>
  <sheetViews>
    <sheetView showGridLines="0" topLeftCell="A2" zoomScale="75" zoomScaleNormal="75" workbookViewId="0">
      <selection activeCell="D4" sqref="D4:D5"/>
    </sheetView>
  </sheetViews>
  <sheetFormatPr baseColWidth="10" defaultRowHeight="15" x14ac:dyDescent="0.25"/>
  <cols>
    <col min="2" max="3" width="13.42578125" customWidth="1"/>
    <col min="4" max="4" width="12.85546875" customWidth="1"/>
    <col min="5" max="5" width="14.140625" style="84" customWidth="1"/>
    <col min="7" max="8" width="13" customWidth="1"/>
    <col min="9" max="9" width="13.28515625" customWidth="1"/>
  </cols>
  <sheetData>
    <row r="3" spans="2:9" ht="28.5" customHeight="1" x14ac:dyDescent="0.25">
      <c r="B3" s="162" t="s">
        <v>192</v>
      </c>
      <c r="C3" s="162" t="s">
        <v>193</v>
      </c>
      <c r="D3" s="162" t="s">
        <v>194</v>
      </c>
      <c r="E3" s="162" t="s">
        <v>195</v>
      </c>
      <c r="F3" s="162" t="s">
        <v>196</v>
      </c>
      <c r="G3" s="675" t="s">
        <v>197</v>
      </c>
      <c r="H3" s="676"/>
      <c r="I3" s="677"/>
    </row>
    <row r="4" spans="2:9" x14ac:dyDescent="0.25">
      <c r="B4" s="678" t="s">
        <v>198</v>
      </c>
      <c r="C4" s="678" t="s">
        <v>199</v>
      </c>
      <c r="D4" s="678" t="s">
        <v>395</v>
      </c>
      <c r="E4" s="678" t="s">
        <v>200</v>
      </c>
      <c r="F4" s="678" t="s">
        <v>16</v>
      </c>
      <c r="G4" s="675" t="s">
        <v>201</v>
      </c>
      <c r="H4" s="680"/>
      <c r="I4" s="677"/>
    </row>
    <row r="5" spans="2:9" x14ac:dyDescent="0.25">
      <c r="B5" s="679"/>
      <c r="C5" s="679"/>
      <c r="D5" s="679"/>
      <c r="E5" s="679"/>
      <c r="F5" s="679"/>
      <c r="G5" s="306">
        <v>0</v>
      </c>
      <c r="H5" s="306">
        <v>5</v>
      </c>
      <c r="I5" s="306">
        <v>10</v>
      </c>
    </row>
    <row r="6" spans="2:9" x14ac:dyDescent="0.25">
      <c r="B6" s="164">
        <v>0</v>
      </c>
      <c r="C6" s="165">
        <v>999.82</v>
      </c>
      <c r="D6" s="166">
        <v>1.792E-3</v>
      </c>
      <c r="E6" s="167">
        <f>D6/C6</f>
        <v>1.7923226180712527E-6</v>
      </c>
      <c r="F6" s="165">
        <v>0.61099999999999999</v>
      </c>
      <c r="G6" s="165">
        <v>14.6</v>
      </c>
      <c r="H6" s="165">
        <v>14.11</v>
      </c>
      <c r="I6" s="165">
        <v>13.64</v>
      </c>
    </row>
    <row r="7" spans="2:9" x14ac:dyDescent="0.25">
      <c r="B7" s="164">
        <f>B6+1</f>
        <v>1</v>
      </c>
      <c r="C7" s="165">
        <v>999.89</v>
      </c>
      <c r="D7" s="166">
        <v>1.7309999999999999E-3</v>
      </c>
      <c r="E7" s="167">
        <f t="shared" ref="E7:E46" si="0">D7/C7</f>
        <v>1.7311904309474041E-6</v>
      </c>
      <c r="F7" s="165">
        <v>0.65700000000000003</v>
      </c>
      <c r="G7" s="165">
        <v>14.2</v>
      </c>
      <c r="H7" s="165">
        <v>13.73</v>
      </c>
      <c r="I7" s="165">
        <v>13.27</v>
      </c>
    </row>
    <row r="8" spans="2:9" x14ac:dyDescent="0.25">
      <c r="B8" s="164">
        <f t="shared" ref="B8:B46" si="1">B7+1</f>
        <v>2</v>
      </c>
      <c r="C8" s="165">
        <v>999.94</v>
      </c>
      <c r="D8" s="166">
        <v>1.6739999999999999E-3</v>
      </c>
      <c r="E8" s="167">
        <f t="shared" si="0"/>
        <v>1.6741004460267615E-6</v>
      </c>
      <c r="F8" s="165">
        <v>0.70499999999999996</v>
      </c>
      <c r="G8" s="165">
        <v>13.81</v>
      </c>
      <c r="H8" s="165">
        <v>13.36</v>
      </c>
      <c r="I8" s="165">
        <v>12.91</v>
      </c>
    </row>
    <row r="9" spans="2:9" x14ac:dyDescent="0.25">
      <c r="B9" s="164">
        <f t="shared" si="1"/>
        <v>3</v>
      </c>
      <c r="C9" s="165">
        <v>999.98</v>
      </c>
      <c r="D9" s="166">
        <v>1.6199999999999999E-3</v>
      </c>
      <c r="E9" s="167">
        <f t="shared" si="0"/>
        <v>1.6200324006480128E-6</v>
      </c>
      <c r="F9" s="165">
        <v>0.75700000000000001</v>
      </c>
      <c r="G9" s="165">
        <v>13.45</v>
      </c>
      <c r="H9" s="165">
        <v>13</v>
      </c>
      <c r="I9" s="165">
        <v>12.58</v>
      </c>
    </row>
    <row r="10" spans="2:9" x14ac:dyDescent="0.25">
      <c r="B10" s="164">
        <f t="shared" si="1"/>
        <v>4</v>
      </c>
      <c r="C10" s="165">
        <v>1000</v>
      </c>
      <c r="D10" s="166">
        <v>1.5690000000000001E-3</v>
      </c>
      <c r="E10" s="167">
        <f t="shared" si="0"/>
        <v>1.5690000000000001E-6</v>
      </c>
      <c r="F10" s="165">
        <v>0.81299999999999994</v>
      </c>
      <c r="G10" s="165">
        <v>13.09</v>
      </c>
      <c r="H10" s="165">
        <v>12.67</v>
      </c>
      <c r="I10" s="165">
        <v>12.25</v>
      </c>
    </row>
    <row r="11" spans="2:9" x14ac:dyDescent="0.25">
      <c r="B11" s="164">
        <f t="shared" si="1"/>
        <v>5</v>
      </c>
      <c r="C11" s="165">
        <v>1000</v>
      </c>
      <c r="D11" s="166">
        <v>1.5200000000000001E-3</v>
      </c>
      <c r="E11" s="167">
        <f t="shared" si="0"/>
        <v>1.5200000000000001E-6</v>
      </c>
      <c r="F11" s="165">
        <v>0.872</v>
      </c>
      <c r="G11" s="165">
        <v>12.76</v>
      </c>
      <c r="H11" s="165">
        <v>12.34</v>
      </c>
      <c r="I11" s="165">
        <v>11.94</v>
      </c>
    </row>
    <row r="12" spans="2:9" x14ac:dyDescent="0.25">
      <c r="B12" s="164">
        <f t="shared" si="1"/>
        <v>6</v>
      </c>
      <c r="C12" s="165">
        <v>999.99</v>
      </c>
      <c r="D12" s="166">
        <v>1.4729999999999999E-3</v>
      </c>
      <c r="E12" s="167">
        <f t="shared" si="0"/>
        <v>1.4730147301473013E-6</v>
      </c>
      <c r="F12" s="165">
        <v>0.93500000000000005</v>
      </c>
      <c r="G12" s="165">
        <v>12.44</v>
      </c>
      <c r="H12" s="165">
        <v>12.04</v>
      </c>
      <c r="I12" s="165">
        <v>11.65</v>
      </c>
    </row>
    <row r="13" spans="2:9" x14ac:dyDescent="0.25">
      <c r="B13" s="164">
        <f t="shared" si="1"/>
        <v>7</v>
      </c>
      <c r="C13" s="165">
        <v>999.96</v>
      </c>
      <c r="D13" s="166">
        <v>1.4289999999999999E-3</v>
      </c>
      <c r="E13" s="167">
        <f t="shared" si="0"/>
        <v>1.4290571622864914E-6</v>
      </c>
      <c r="F13" s="165">
        <v>1.0009999999999999</v>
      </c>
      <c r="G13" s="165">
        <v>12.13</v>
      </c>
      <c r="H13" s="165">
        <v>11.74</v>
      </c>
      <c r="I13" s="165">
        <v>11.37</v>
      </c>
    </row>
    <row r="14" spans="2:9" x14ac:dyDescent="0.25">
      <c r="B14" s="164">
        <f t="shared" si="1"/>
        <v>8</v>
      </c>
      <c r="C14" s="165">
        <v>999.91</v>
      </c>
      <c r="D14" s="166">
        <v>1.3860000000000001E-3</v>
      </c>
      <c r="E14" s="167">
        <f t="shared" si="0"/>
        <v>1.3861247512276105E-6</v>
      </c>
      <c r="F14" s="165">
        <v>1.0720000000000001</v>
      </c>
      <c r="G14" s="165">
        <v>11.83</v>
      </c>
      <c r="H14" s="165">
        <v>11.46</v>
      </c>
      <c r="I14" s="165">
        <v>11.09</v>
      </c>
    </row>
    <row r="15" spans="2:9" x14ac:dyDescent="0.25">
      <c r="B15" s="164">
        <f t="shared" si="1"/>
        <v>9</v>
      </c>
      <c r="C15" s="165">
        <v>999.85</v>
      </c>
      <c r="D15" s="166">
        <v>1.346E-3</v>
      </c>
      <c r="E15" s="167">
        <f t="shared" si="0"/>
        <v>1.3462019302895433E-6</v>
      </c>
      <c r="F15" s="165">
        <v>1.147</v>
      </c>
      <c r="G15" s="165">
        <v>11.55</v>
      </c>
      <c r="H15" s="165">
        <v>11.19</v>
      </c>
      <c r="I15" s="165">
        <v>10.83</v>
      </c>
    </row>
    <row r="16" spans="2:9" x14ac:dyDescent="0.25">
      <c r="B16" s="164">
        <f t="shared" si="1"/>
        <v>10</v>
      </c>
      <c r="C16" s="165">
        <v>999.77</v>
      </c>
      <c r="D16" s="166">
        <v>1.3079999999999999E-3</v>
      </c>
      <c r="E16" s="167">
        <f t="shared" si="0"/>
        <v>1.3083009092091181E-6</v>
      </c>
      <c r="F16" s="165">
        <v>1.2270000000000001</v>
      </c>
      <c r="G16" s="165">
        <v>11.28</v>
      </c>
      <c r="H16" s="165">
        <v>10.92</v>
      </c>
      <c r="I16" s="165">
        <v>10.58</v>
      </c>
    </row>
    <row r="17" spans="2:9" x14ac:dyDescent="0.25">
      <c r="B17" s="164">
        <f t="shared" si="1"/>
        <v>11</v>
      </c>
      <c r="C17" s="165">
        <v>999.68</v>
      </c>
      <c r="D17" s="166">
        <v>1.271E-3</v>
      </c>
      <c r="E17" s="167">
        <f t="shared" si="0"/>
        <v>1.2714068501920614E-6</v>
      </c>
      <c r="F17" s="165">
        <v>1.3120000000000001</v>
      </c>
      <c r="G17" s="165">
        <v>11.02</v>
      </c>
      <c r="H17" s="165">
        <v>10.67</v>
      </c>
      <c r="I17" s="165">
        <v>10.34</v>
      </c>
    </row>
    <row r="18" spans="2:9" x14ac:dyDescent="0.25">
      <c r="B18" s="164">
        <f t="shared" si="1"/>
        <v>12</v>
      </c>
      <c r="C18" s="165">
        <v>999.58</v>
      </c>
      <c r="D18" s="166">
        <v>1.2359999999999999E-3</v>
      </c>
      <c r="E18" s="167">
        <f t="shared" si="0"/>
        <v>1.2365193381220111E-6</v>
      </c>
      <c r="F18" s="165">
        <v>1.4019999999999999</v>
      </c>
      <c r="G18" s="165">
        <v>10.77</v>
      </c>
      <c r="H18" s="165">
        <v>10.43</v>
      </c>
      <c r="I18" s="165">
        <v>10.11</v>
      </c>
    </row>
    <row r="19" spans="2:9" x14ac:dyDescent="0.25">
      <c r="B19" s="164">
        <f t="shared" si="1"/>
        <v>13</v>
      </c>
      <c r="C19" s="165">
        <v>999.46</v>
      </c>
      <c r="D19" s="166">
        <v>1.2019999999999999E-3</v>
      </c>
      <c r="E19" s="167">
        <f t="shared" si="0"/>
        <v>1.2026494306925738E-6</v>
      </c>
      <c r="F19" s="165">
        <v>1.4970000000000001</v>
      </c>
      <c r="G19" s="165">
        <v>10.53</v>
      </c>
      <c r="H19" s="165">
        <v>10.199999999999999</v>
      </c>
      <c r="I19" s="165">
        <v>9.89</v>
      </c>
    </row>
    <row r="20" spans="2:9" x14ac:dyDescent="0.25">
      <c r="B20" s="164">
        <f t="shared" si="1"/>
        <v>14</v>
      </c>
      <c r="C20" s="165">
        <v>999.33</v>
      </c>
      <c r="D20" s="166">
        <v>1.17E-3</v>
      </c>
      <c r="E20" s="167">
        <f t="shared" si="0"/>
        <v>1.1707844255651285E-6</v>
      </c>
      <c r="F20" s="165">
        <v>1.597</v>
      </c>
      <c r="G20" s="165">
        <v>10.29</v>
      </c>
      <c r="H20" s="165">
        <v>9.98</v>
      </c>
      <c r="I20" s="165">
        <v>9.68</v>
      </c>
    </row>
    <row r="21" spans="2:9" x14ac:dyDescent="0.25">
      <c r="B21" s="164">
        <f t="shared" si="1"/>
        <v>15</v>
      </c>
      <c r="C21" s="165">
        <v>999.19</v>
      </c>
      <c r="D21" s="166">
        <v>1.139E-3</v>
      </c>
      <c r="E21" s="167">
        <f t="shared" si="0"/>
        <v>1.1399233379037019E-6</v>
      </c>
      <c r="F21" s="165">
        <v>1.704</v>
      </c>
      <c r="G21" s="165">
        <v>10.07</v>
      </c>
      <c r="H21" s="165">
        <v>9.77</v>
      </c>
      <c r="I21" s="165">
        <v>9.4700000000000006</v>
      </c>
    </row>
    <row r="22" spans="2:9" x14ac:dyDescent="0.25">
      <c r="B22" s="164">
        <f t="shared" si="1"/>
        <v>16</v>
      </c>
      <c r="C22" s="165">
        <v>999.03</v>
      </c>
      <c r="D22" s="166">
        <v>1.109E-3</v>
      </c>
      <c r="E22" s="167">
        <f t="shared" si="0"/>
        <v>1.110076774471237E-6</v>
      </c>
      <c r="F22" s="165">
        <v>1.8169999999999999</v>
      </c>
      <c r="G22" s="165">
        <v>9.86</v>
      </c>
      <c r="H22" s="165">
        <v>9.56</v>
      </c>
      <c r="I22" s="165">
        <v>9.2799999999999994</v>
      </c>
    </row>
    <row r="23" spans="2:9" x14ac:dyDescent="0.25">
      <c r="B23" s="164">
        <f t="shared" si="1"/>
        <v>17</v>
      </c>
      <c r="C23" s="165">
        <v>998.86</v>
      </c>
      <c r="D23" s="166">
        <v>1.0809999999999999E-3</v>
      </c>
      <c r="E23" s="167">
        <f t="shared" si="0"/>
        <v>1.0822337464709768E-6</v>
      </c>
      <c r="F23" s="165">
        <v>1.9359999999999999</v>
      </c>
      <c r="G23" s="165">
        <v>9.65</v>
      </c>
      <c r="H23" s="165">
        <v>9.36</v>
      </c>
      <c r="I23" s="165">
        <v>9.09</v>
      </c>
    </row>
    <row r="24" spans="2:9" x14ac:dyDescent="0.25">
      <c r="B24" s="164">
        <f t="shared" si="1"/>
        <v>18</v>
      </c>
      <c r="C24" s="165">
        <v>998.68</v>
      </c>
      <c r="D24" s="166">
        <v>1.054E-3</v>
      </c>
      <c r="E24" s="167">
        <f t="shared" si="0"/>
        <v>1.0553931189169705E-6</v>
      </c>
      <c r="F24" s="165">
        <v>2.0630000000000002</v>
      </c>
      <c r="G24" s="165">
        <v>9.4499999999999993</v>
      </c>
      <c r="H24" s="165">
        <v>9.17</v>
      </c>
      <c r="I24" s="165">
        <v>8.9</v>
      </c>
    </row>
    <row r="25" spans="2:9" x14ac:dyDescent="0.25">
      <c r="B25" s="164">
        <f t="shared" si="1"/>
        <v>19</v>
      </c>
      <c r="C25" s="165">
        <v>998.49</v>
      </c>
      <c r="D25" s="166">
        <v>1.0280000000000001E-3</v>
      </c>
      <c r="E25" s="167">
        <f t="shared" si="0"/>
        <v>1.0295546274875061E-6</v>
      </c>
      <c r="F25" s="165">
        <v>2.1960000000000002</v>
      </c>
      <c r="G25" s="165">
        <v>9.26</v>
      </c>
      <c r="H25" s="165">
        <v>8.99</v>
      </c>
      <c r="I25" s="165">
        <v>8.73</v>
      </c>
    </row>
    <row r="26" spans="2:9" x14ac:dyDescent="0.25">
      <c r="B26" s="164">
        <f t="shared" si="1"/>
        <v>20</v>
      </c>
      <c r="C26" s="165">
        <v>998.29</v>
      </c>
      <c r="D26" s="166">
        <v>1.003E-3</v>
      </c>
      <c r="E26" s="167">
        <f t="shared" si="0"/>
        <v>1.0047180678961023E-6</v>
      </c>
      <c r="F26" s="165">
        <v>2.3370000000000002</v>
      </c>
      <c r="G26" s="165">
        <v>9.08</v>
      </c>
      <c r="H26" s="165">
        <v>8.81</v>
      </c>
      <c r="I26" s="165">
        <v>8.56</v>
      </c>
    </row>
    <row r="27" spans="2:9" x14ac:dyDescent="0.25">
      <c r="B27" s="164">
        <f t="shared" si="1"/>
        <v>21</v>
      </c>
      <c r="C27" s="165">
        <v>998.08</v>
      </c>
      <c r="D27" s="166">
        <v>9.7900000000000005E-4</v>
      </c>
      <c r="E27" s="167">
        <f t="shared" si="0"/>
        <v>9.8088329592818217E-7</v>
      </c>
      <c r="F27" s="165">
        <v>2.4860000000000002</v>
      </c>
      <c r="G27" s="165">
        <v>8.9</v>
      </c>
      <c r="H27" s="165">
        <v>8.64</v>
      </c>
      <c r="I27" s="165">
        <v>8.39</v>
      </c>
    </row>
    <row r="28" spans="2:9" x14ac:dyDescent="0.25">
      <c r="B28" s="164">
        <f t="shared" si="1"/>
        <v>22</v>
      </c>
      <c r="C28" s="165">
        <v>997.86</v>
      </c>
      <c r="D28" s="166">
        <v>9.5500000000000001E-4</v>
      </c>
      <c r="E28" s="167">
        <f t="shared" si="0"/>
        <v>9.5704808289740053E-7</v>
      </c>
      <c r="F28" s="165">
        <v>2.6419999999999999</v>
      </c>
      <c r="G28" s="165">
        <v>8.73</v>
      </c>
      <c r="H28" s="165">
        <v>8.48</v>
      </c>
      <c r="I28" s="165">
        <v>8.23</v>
      </c>
    </row>
    <row r="29" spans="2:9" x14ac:dyDescent="0.25">
      <c r="B29" s="164">
        <f t="shared" si="1"/>
        <v>23</v>
      </c>
      <c r="C29" s="165">
        <v>997.62</v>
      </c>
      <c r="D29" s="166">
        <v>9.3300000000000002E-4</v>
      </c>
      <c r="E29" s="167">
        <f t="shared" si="0"/>
        <v>9.3522583749323393E-7</v>
      </c>
      <c r="F29" s="165">
        <v>2.8079999999999998</v>
      </c>
      <c r="G29" s="165">
        <v>8.56</v>
      </c>
      <c r="H29" s="165">
        <v>8.32</v>
      </c>
      <c r="I29" s="165">
        <v>8.08</v>
      </c>
    </row>
    <row r="30" spans="2:9" x14ac:dyDescent="0.25">
      <c r="B30" s="164">
        <f t="shared" si="1"/>
        <v>24</v>
      </c>
      <c r="C30" s="165">
        <v>997.38</v>
      </c>
      <c r="D30" s="166">
        <v>9.1100000000000003E-4</v>
      </c>
      <c r="E30" s="167">
        <f t="shared" si="0"/>
        <v>9.1339308989552636E-7</v>
      </c>
      <c r="F30" s="165">
        <v>2.9820000000000002</v>
      </c>
      <c r="G30" s="165">
        <v>8.4</v>
      </c>
      <c r="H30" s="165">
        <v>8.16</v>
      </c>
      <c r="I30" s="165">
        <v>7.93</v>
      </c>
    </row>
    <row r="31" spans="2:9" x14ac:dyDescent="0.25">
      <c r="B31" s="164">
        <f t="shared" si="1"/>
        <v>25</v>
      </c>
      <c r="C31" s="165">
        <v>997.13</v>
      </c>
      <c r="D31" s="166">
        <v>8.9099999999999997E-4</v>
      </c>
      <c r="E31" s="167">
        <f t="shared" si="0"/>
        <v>8.9356453020167885E-7</v>
      </c>
      <c r="F31" s="165">
        <v>3.1659999999999999</v>
      </c>
      <c r="G31" s="165">
        <v>8.24</v>
      </c>
      <c r="H31" s="165">
        <v>8.01</v>
      </c>
      <c r="I31" s="165">
        <v>7.79</v>
      </c>
    </row>
    <row r="32" spans="2:9" x14ac:dyDescent="0.25">
      <c r="B32" s="164">
        <f t="shared" si="1"/>
        <v>26</v>
      </c>
      <c r="C32" s="165">
        <v>996.86</v>
      </c>
      <c r="D32" s="166">
        <v>8.7100000000000003E-4</v>
      </c>
      <c r="E32" s="167">
        <f t="shared" si="0"/>
        <v>8.7374355476195253E-7</v>
      </c>
      <c r="F32" s="165">
        <v>3.36</v>
      </c>
      <c r="G32" s="165">
        <v>8.09</v>
      </c>
      <c r="H32" s="165">
        <v>7.87</v>
      </c>
      <c r="I32" s="165">
        <v>7.65</v>
      </c>
    </row>
    <row r="33" spans="2:9" x14ac:dyDescent="0.25">
      <c r="B33" s="164">
        <f t="shared" si="1"/>
        <v>27</v>
      </c>
      <c r="C33" s="165">
        <v>996.59</v>
      </c>
      <c r="D33" s="166">
        <v>8.52E-4</v>
      </c>
      <c r="E33" s="167">
        <f t="shared" si="0"/>
        <v>8.5491526104014687E-7</v>
      </c>
      <c r="F33" s="165">
        <v>3.5640000000000001</v>
      </c>
      <c r="G33" s="165">
        <v>7.95</v>
      </c>
      <c r="H33" s="165">
        <v>7.73</v>
      </c>
      <c r="I33" s="165">
        <v>7.51</v>
      </c>
    </row>
    <row r="34" spans="2:9" x14ac:dyDescent="0.25">
      <c r="B34" s="164">
        <f t="shared" si="1"/>
        <v>28</v>
      </c>
      <c r="C34" s="165">
        <v>996.31</v>
      </c>
      <c r="D34" s="166">
        <v>8.3299999999999997E-4</v>
      </c>
      <c r="E34" s="167">
        <f t="shared" si="0"/>
        <v>8.3608515421906841E-7</v>
      </c>
      <c r="F34" s="165">
        <v>3.7789999999999999</v>
      </c>
      <c r="G34" s="165">
        <v>7.81</v>
      </c>
      <c r="H34" s="165">
        <v>7.59</v>
      </c>
      <c r="I34" s="165">
        <v>7.38</v>
      </c>
    </row>
    <row r="35" spans="2:9" x14ac:dyDescent="0.25">
      <c r="B35" s="164">
        <f t="shared" si="1"/>
        <v>29</v>
      </c>
      <c r="C35" s="165">
        <v>996.02</v>
      </c>
      <c r="D35" s="166">
        <v>8.1499999999999997E-4</v>
      </c>
      <c r="E35" s="167">
        <f t="shared" si="0"/>
        <v>8.1825666151282104E-7</v>
      </c>
      <c r="F35" s="165">
        <v>4.0039999999999996</v>
      </c>
      <c r="G35" s="165">
        <v>7.67</v>
      </c>
      <c r="H35" s="165">
        <v>7.46</v>
      </c>
      <c r="I35" s="165">
        <v>7.26</v>
      </c>
    </row>
    <row r="36" spans="2:9" x14ac:dyDescent="0.25">
      <c r="B36" s="164">
        <f t="shared" si="1"/>
        <v>30</v>
      </c>
      <c r="C36" s="165">
        <v>995.71</v>
      </c>
      <c r="D36" s="166">
        <v>7.9799999999999999E-4</v>
      </c>
      <c r="E36" s="167">
        <f t="shared" si="0"/>
        <v>8.0143816974821981E-7</v>
      </c>
      <c r="F36" s="165">
        <v>4.242</v>
      </c>
      <c r="G36" s="165">
        <v>7.54</v>
      </c>
      <c r="H36" s="165">
        <v>7.33</v>
      </c>
      <c r="I36" s="165">
        <v>7.14</v>
      </c>
    </row>
    <row r="37" spans="2:9" x14ac:dyDescent="0.25">
      <c r="B37" s="164">
        <f t="shared" si="1"/>
        <v>31</v>
      </c>
      <c r="C37" s="165">
        <v>995.41</v>
      </c>
      <c r="D37" s="166">
        <v>7.8100000000000001E-4</v>
      </c>
      <c r="E37" s="167">
        <f t="shared" si="0"/>
        <v>7.8460132005907112E-7</v>
      </c>
      <c r="F37" s="165">
        <v>4.4909999999999997</v>
      </c>
      <c r="G37" s="165">
        <v>7.41</v>
      </c>
      <c r="H37" s="165">
        <v>7.21</v>
      </c>
      <c r="I37" s="165">
        <v>7.02</v>
      </c>
    </row>
    <row r="38" spans="2:9" x14ac:dyDescent="0.25">
      <c r="B38" s="164">
        <f t="shared" si="1"/>
        <v>32</v>
      </c>
      <c r="C38" s="165">
        <v>995.09</v>
      </c>
      <c r="D38" s="166">
        <v>7.6499999999999995E-4</v>
      </c>
      <c r="E38" s="167">
        <f t="shared" si="0"/>
        <v>7.6877468369695196E-7</v>
      </c>
      <c r="F38" s="165">
        <v>4.7539999999999996</v>
      </c>
      <c r="G38" s="165">
        <v>7.29</v>
      </c>
      <c r="H38" s="165">
        <v>7.09</v>
      </c>
      <c r="I38" s="165">
        <v>6.9</v>
      </c>
    </row>
    <row r="39" spans="2:9" x14ac:dyDescent="0.25">
      <c r="B39" s="164">
        <f t="shared" si="1"/>
        <v>33</v>
      </c>
      <c r="C39" s="165">
        <v>994.76</v>
      </c>
      <c r="D39" s="166">
        <v>7.4899999999999999E-4</v>
      </c>
      <c r="E39" s="167">
        <f t="shared" si="0"/>
        <v>7.5294543407455063E-7</v>
      </c>
      <c r="F39" s="165">
        <v>5.0289999999999999</v>
      </c>
      <c r="G39" s="165">
        <v>7.17</v>
      </c>
      <c r="H39" s="165">
        <v>6.98</v>
      </c>
      <c r="I39" s="165">
        <v>6.79</v>
      </c>
    </row>
    <row r="40" spans="2:9" x14ac:dyDescent="0.25">
      <c r="B40" s="164">
        <f t="shared" si="1"/>
        <v>34</v>
      </c>
      <c r="C40" s="165">
        <v>994.43</v>
      </c>
      <c r="D40" s="166">
        <v>7.3399999999999995E-4</v>
      </c>
      <c r="E40" s="167">
        <f t="shared" si="0"/>
        <v>7.3811127982864557E-7</v>
      </c>
      <c r="F40" s="165">
        <v>5.3179999999999996</v>
      </c>
      <c r="G40" s="165">
        <v>7.05</v>
      </c>
      <c r="H40" s="165">
        <v>6.86</v>
      </c>
      <c r="I40" s="165">
        <v>6.68</v>
      </c>
    </row>
    <row r="41" spans="2:9" x14ac:dyDescent="0.25">
      <c r="B41" s="164">
        <f t="shared" si="1"/>
        <v>35</v>
      </c>
      <c r="C41" s="165">
        <v>994.08</v>
      </c>
      <c r="D41" s="166">
        <v>7.2000000000000005E-4</v>
      </c>
      <c r="E41" s="167">
        <f t="shared" si="0"/>
        <v>7.2428778367938198E-7</v>
      </c>
      <c r="F41" s="165">
        <v>5.6219999999999999</v>
      </c>
      <c r="G41" s="165">
        <v>6.93</v>
      </c>
      <c r="H41" s="165">
        <v>6.75</v>
      </c>
      <c r="I41" s="165">
        <v>6.58</v>
      </c>
    </row>
    <row r="42" spans="2:9" x14ac:dyDescent="0.25">
      <c r="B42" s="164">
        <f t="shared" si="1"/>
        <v>36</v>
      </c>
      <c r="C42" s="165">
        <v>993.73</v>
      </c>
      <c r="D42" s="166">
        <v>7.0500000000000001E-4</v>
      </c>
      <c r="E42" s="167">
        <f t="shared" si="0"/>
        <v>7.0944824046773266E-7</v>
      </c>
      <c r="F42" s="165">
        <v>5.94</v>
      </c>
      <c r="G42" s="165">
        <v>6.82</v>
      </c>
      <c r="H42" s="165">
        <v>6.65</v>
      </c>
      <c r="I42" s="165">
        <v>6.47</v>
      </c>
    </row>
    <row r="43" spans="2:9" x14ac:dyDescent="0.25">
      <c r="B43" s="164">
        <f t="shared" si="1"/>
        <v>37</v>
      </c>
      <c r="C43" s="165">
        <v>993.37</v>
      </c>
      <c r="D43" s="166">
        <v>6.9200000000000002E-4</v>
      </c>
      <c r="E43" s="167">
        <f t="shared" si="0"/>
        <v>6.9661858119331165E-7</v>
      </c>
      <c r="F43" s="165">
        <v>6.274</v>
      </c>
      <c r="G43" s="165">
        <v>6.72</v>
      </c>
      <c r="H43" s="165">
        <v>6.54</v>
      </c>
      <c r="I43" s="165">
        <v>6.37</v>
      </c>
    </row>
    <row r="44" spans="2:9" x14ac:dyDescent="0.25">
      <c r="B44" s="164">
        <f t="shared" si="1"/>
        <v>38</v>
      </c>
      <c r="C44" s="165">
        <v>993</v>
      </c>
      <c r="D44" s="166">
        <v>6.78E-4</v>
      </c>
      <c r="E44" s="167">
        <f t="shared" si="0"/>
        <v>6.8277945619335344E-7</v>
      </c>
      <c r="F44" s="165">
        <v>6.6239999999999997</v>
      </c>
      <c r="G44" s="165">
        <v>6.61</v>
      </c>
      <c r="H44" s="165">
        <v>6.44</v>
      </c>
      <c r="I44" s="165">
        <v>6.28</v>
      </c>
    </row>
    <row r="45" spans="2:9" x14ac:dyDescent="0.25">
      <c r="B45" s="164">
        <f t="shared" si="1"/>
        <v>39</v>
      </c>
      <c r="C45" s="165">
        <v>992.63</v>
      </c>
      <c r="D45" s="166">
        <v>6.6600000000000003E-4</v>
      </c>
      <c r="E45" s="167">
        <f t="shared" si="0"/>
        <v>6.709448636450642E-7</v>
      </c>
      <c r="F45" s="165">
        <v>6.9909999999999997</v>
      </c>
      <c r="G45" s="165">
        <v>6.51</v>
      </c>
      <c r="H45" s="165">
        <v>6.34</v>
      </c>
      <c r="I45" s="165">
        <v>6.18</v>
      </c>
    </row>
    <row r="46" spans="2:9" x14ac:dyDescent="0.25">
      <c r="B46" s="164">
        <f t="shared" si="1"/>
        <v>40</v>
      </c>
      <c r="C46" s="165">
        <v>992.25</v>
      </c>
      <c r="D46" s="166">
        <v>6.5300000000000004E-4</v>
      </c>
      <c r="E46" s="167">
        <f t="shared" si="0"/>
        <v>6.5810027714789624E-7</v>
      </c>
      <c r="F46" s="165">
        <v>7.375</v>
      </c>
      <c r="G46" s="165">
        <v>6.41</v>
      </c>
      <c r="H46" s="165">
        <v>6.25</v>
      </c>
      <c r="I46" s="165">
        <v>6.09</v>
      </c>
    </row>
    <row r="47" spans="2:9" ht="29.25" customHeight="1" x14ac:dyDescent="0.25">
      <c r="B47" s="666" t="s">
        <v>202</v>
      </c>
      <c r="C47" s="667"/>
      <c r="D47" s="667"/>
      <c r="E47" s="667"/>
      <c r="F47" s="668"/>
      <c r="G47" s="669" t="s">
        <v>203</v>
      </c>
      <c r="H47" s="670"/>
      <c r="I47" s="671"/>
    </row>
    <row r="48" spans="2:9" x14ac:dyDescent="0.25">
      <c r="B48" s="168" t="s">
        <v>204</v>
      </c>
      <c r="C48" s="131"/>
      <c r="D48" s="131"/>
      <c r="E48" s="169"/>
      <c r="F48" s="132"/>
      <c r="G48" s="672"/>
      <c r="H48" s="673"/>
      <c r="I48" s="674"/>
    </row>
  </sheetData>
  <mergeCells count="9">
    <mergeCell ref="B47:F47"/>
    <mergeCell ref="G47:I48"/>
    <mergeCell ref="G3:I3"/>
    <mergeCell ref="B4:B5"/>
    <mergeCell ref="C4:C5"/>
    <mergeCell ref="D4:D5"/>
    <mergeCell ref="E4:E5"/>
    <mergeCell ref="F4:F5"/>
    <mergeCell ref="G4:I4"/>
  </mergeCells>
  <hyperlinks>
    <hyperlink ref="B48" r:id="rId1" xr:uid="{7C6A4232-FFC6-4A39-94D7-724CAC47114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1242B-83A1-434F-9283-2E1A768D5503}">
  <dimension ref="A1:C10"/>
  <sheetViews>
    <sheetView showGridLines="0" zoomScale="75" zoomScaleNormal="75" workbookViewId="0">
      <selection activeCell="A10" sqref="A10:C10"/>
    </sheetView>
  </sheetViews>
  <sheetFormatPr baseColWidth="10" defaultRowHeight="15" x14ac:dyDescent="0.25"/>
  <cols>
    <col min="1" max="1" width="17.28515625" customWidth="1"/>
    <col min="2" max="2" width="15" customWidth="1"/>
    <col min="3" max="3" width="20" customWidth="1"/>
  </cols>
  <sheetData>
    <row r="1" spans="1:3" ht="45.75" customHeight="1" x14ac:dyDescent="0.25">
      <c r="A1" s="681" t="s">
        <v>224</v>
      </c>
      <c r="B1" s="682"/>
      <c r="C1" s="682"/>
    </row>
    <row r="2" spans="1:3" ht="42.75" x14ac:dyDescent="0.25">
      <c r="A2" s="214" t="s">
        <v>225</v>
      </c>
      <c r="B2" s="214" t="s">
        <v>226</v>
      </c>
      <c r="C2" s="214" t="s">
        <v>227</v>
      </c>
    </row>
    <row r="3" spans="1:3" ht="18.75" x14ac:dyDescent="0.25">
      <c r="A3" s="215" t="s">
        <v>5</v>
      </c>
      <c r="B3" s="215" t="s">
        <v>228</v>
      </c>
      <c r="C3" s="215" t="s">
        <v>229</v>
      </c>
    </row>
    <row r="4" spans="1:3" x14ac:dyDescent="0.25">
      <c r="A4" s="46">
        <v>1</v>
      </c>
      <c r="B4" s="59" t="s">
        <v>230</v>
      </c>
      <c r="C4" s="46">
        <v>1</v>
      </c>
    </row>
    <row r="5" spans="1:3" x14ac:dyDescent="0.25">
      <c r="A5" s="46">
        <v>2</v>
      </c>
      <c r="B5" s="46">
        <v>0.61</v>
      </c>
      <c r="C5" s="46">
        <v>1</v>
      </c>
    </row>
    <row r="6" spans="1:3" x14ac:dyDescent="0.25">
      <c r="A6" s="46">
        <v>3</v>
      </c>
      <c r="B6" s="46">
        <v>0.88</v>
      </c>
      <c r="C6" s="46">
        <v>1.6</v>
      </c>
    </row>
    <row r="7" spans="1:3" x14ac:dyDescent="0.25">
      <c r="A7" s="46">
        <v>4</v>
      </c>
      <c r="B7" s="46">
        <v>1.03</v>
      </c>
      <c r="C7" s="46">
        <v>2.2000000000000002</v>
      </c>
    </row>
    <row r="8" spans="1:3" x14ac:dyDescent="0.25">
      <c r="A8" s="46">
        <v>5</v>
      </c>
      <c r="B8" s="46">
        <v>1.23</v>
      </c>
      <c r="C8" s="46">
        <v>3</v>
      </c>
    </row>
    <row r="9" spans="1:3" x14ac:dyDescent="0.25">
      <c r="A9" s="46">
        <v>6</v>
      </c>
      <c r="B9" s="46">
        <v>1.41</v>
      </c>
      <c r="C9" s="46">
        <v>3.6</v>
      </c>
    </row>
    <row r="10" spans="1:3" ht="36.75" customHeight="1" x14ac:dyDescent="0.25">
      <c r="A10" s="683" t="s">
        <v>487</v>
      </c>
      <c r="B10" s="684"/>
      <c r="C10" s="684"/>
    </row>
  </sheetData>
  <mergeCells count="2">
    <mergeCell ref="A1:C1"/>
    <mergeCell ref="A10:C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C240D-C534-46B2-8602-487028F16847}">
  <dimension ref="A1:M70"/>
  <sheetViews>
    <sheetView showGridLines="0" zoomScale="75" zoomScaleNormal="75" workbookViewId="0">
      <selection activeCell="I21" sqref="I21"/>
    </sheetView>
  </sheetViews>
  <sheetFormatPr baseColWidth="10" defaultRowHeight="15" x14ac:dyDescent="0.25"/>
  <cols>
    <col min="1" max="1" width="35.42578125" customWidth="1"/>
    <col min="2" max="2" width="31.7109375" customWidth="1"/>
    <col min="3" max="3" width="12.7109375" customWidth="1"/>
    <col min="4" max="4" width="14.85546875" customWidth="1"/>
    <col min="5" max="5" width="12.42578125" style="116" customWidth="1"/>
    <col min="6" max="6" width="10.5703125" customWidth="1"/>
    <col min="7" max="7" width="14.140625" customWidth="1"/>
    <col min="8" max="8" width="15.28515625" customWidth="1"/>
    <col min="9" max="9" width="24.28515625" customWidth="1"/>
    <col min="10" max="10" width="14.85546875" customWidth="1"/>
    <col min="11" max="11" width="7.28515625" customWidth="1"/>
    <col min="12" max="12" width="15" customWidth="1"/>
  </cols>
  <sheetData>
    <row r="1" spans="1:13" ht="38.25" customHeight="1" x14ac:dyDescent="0.25">
      <c r="A1" s="506" t="s">
        <v>138</v>
      </c>
      <c r="B1" s="507"/>
      <c r="C1" s="2"/>
      <c r="D1" s="2"/>
      <c r="E1" s="2"/>
      <c r="F1" s="15"/>
      <c r="G1" s="536" t="s">
        <v>139</v>
      </c>
      <c r="H1" s="394" t="s">
        <v>140</v>
      </c>
    </row>
    <row r="2" spans="1:13" ht="32.25" customHeight="1" x14ac:dyDescent="0.25">
      <c r="B2" s="315" t="s">
        <v>337</v>
      </c>
      <c r="C2" s="316"/>
      <c r="D2" s="317" t="s">
        <v>338</v>
      </c>
      <c r="E2" s="531">
        <f>E6+E18+E28+E44</f>
        <v>0.7329087382213415</v>
      </c>
      <c r="F2" s="544" t="s">
        <v>4</v>
      </c>
      <c r="G2" s="546">
        <f>G6+G18+G28+G44</f>
        <v>0.7329087382213415</v>
      </c>
      <c r="H2" s="438">
        <f t="shared" ref="H2:H50" si="0">G2-E2</f>
        <v>0</v>
      </c>
    </row>
    <row r="3" spans="1:13" ht="15" customHeight="1" x14ac:dyDescent="0.25">
      <c r="A3" s="274" t="s">
        <v>437</v>
      </c>
      <c r="B3" s="75" t="s">
        <v>361</v>
      </c>
      <c r="C3" s="74"/>
      <c r="D3" s="2"/>
      <c r="E3" s="488">
        <f>'Parrilla Nitrificación Parcial'!E58</f>
        <v>4</v>
      </c>
      <c r="F3" s="278" t="s">
        <v>24</v>
      </c>
      <c r="G3" s="494">
        <f>'Parrilla Nitrificación Parcial'!G58</f>
        <v>4</v>
      </c>
      <c r="H3" s="438">
        <f>G3-E3</f>
        <v>0</v>
      </c>
    </row>
    <row r="4" spans="1:13" ht="15" customHeight="1" x14ac:dyDescent="0.25">
      <c r="A4" s="1"/>
      <c r="B4" s="191" t="s">
        <v>64</v>
      </c>
      <c r="C4" s="74"/>
      <c r="D4" s="2"/>
      <c r="E4" s="76">
        <f>E45</f>
        <v>2.4784426237499999</v>
      </c>
      <c r="F4" s="278" t="s">
        <v>0</v>
      </c>
      <c r="G4" s="157">
        <f>G45</f>
        <v>2.4784426237499999</v>
      </c>
      <c r="H4" s="438">
        <f>G4-E4</f>
        <v>0</v>
      </c>
    </row>
    <row r="5" spans="1:13" ht="15" customHeight="1" x14ac:dyDescent="0.25">
      <c r="A5" s="1"/>
      <c r="B5" s="320" t="s">
        <v>348</v>
      </c>
      <c r="C5" s="74"/>
      <c r="D5" s="2"/>
      <c r="E5" s="76">
        <f>E3*E4</f>
        <v>9.9137704949999996</v>
      </c>
      <c r="F5" s="518" t="s">
        <v>0</v>
      </c>
      <c r="G5" s="157">
        <f>G3*G4</f>
        <v>9.9137704949999996</v>
      </c>
      <c r="H5" s="438">
        <f>G5-E5</f>
        <v>0</v>
      </c>
    </row>
    <row r="6" spans="1:13" ht="15" customHeight="1" x14ac:dyDescent="0.25">
      <c r="A6" s="340"/>
      <c r="B6" s="318" t="s">
        <v>339</v>
      </c>
      <c r="C6" s="532"/>
      <c r="D6" s="533" t="s">
        <v>205</v>
      </c>
      <c r="E6" s="534">
        <f>E12+SUM(E15:E17)</f>
        <v>0.36834640759805448</v>
      </c>
      <c r="F6" s="545" t="s">
        <v>4</v>
      </c>
      <c r="G6" s="546">
        <f>G12+SUM(G15:G17)</f>
        <v>0.36834640759805448</v>
      </c>
      <c r="H6" s="438">
        <f>G6-E6</f>
        <v>0</v>
      </c>
    </row>
    <row r="7" spans="1:13" ht="18.75" x14ac:dyDescent="0.35">
      <c r="A7" s="1"/>
      <c r="B7" s="90" t="s">
        <v>206</v>
      </c>
      <c r="C7" s="319" t="s">
        <v>207</v>
      </c>
      <c r="D7" s="319" t="s">
        <v>208</v>
      </c>
      <c r="E7" s="535">
        <v>150</v>
      </c>
      <c r="F7" s="199"/>
      <c r="G7" s="547">
        <v>150</v>
      </c>
      <c r="H7" s="438">
        <f t="shared" si="0"/>
        <v>0</v>
      </c>
    </row>
    <row r="8" spans="1:13" x14ac:dyDescent="0.25">
      <c r="A8" s="1"/>
      <c r="B8" s="75" t="s">
        <v>340</v>
      </c>
      <c r="C8" s="74"/>
      <c r="D8" s="2"/>
      <c r="E8" s="156">
        <f>E20</f>
        <v>9.9137704949999996</v>
      </c>
      <c r="F8" s="278" t="s">
        <v>0</v>
      </c>
      <c r="G8" s="489">
        <f>G20</f>
        <v>9.9137704949999996</v>
      </c>
      <c r="H8" s="438">
        <f t="shared" si="0"/>
        <v>0</v>
      </c>
    </row>
    <row r="9" spans="1:13" x14ac:dyDescent="0.25">
      <c r="A9" s="1"/>
      <c r="B9" s="550" t="s">
        <v>210</v>
      </c>
      <c r="C9" s="551"/>
      <c r="D9" s="552"/>
      <c r="E9" s="553">
        <v>3</v>
      </c>
      <c r="F9" s="554" t="s">
        <v>28</v>
      </c>
      <c r="G9" s="157">
        <v>3</v>
      </c>
      <c r="H9" s="438">
        <f t="shared" si="0"/>
        <v>0</v>
      </c>
    </row>
    <row r="10" spans="1:13" x14ac:dyDescent="0.25">
      <c r="A10" s="1"/>
      <c r="B10" s="555" t="s">
        <v>211</v>
      </c>
      <c r="C10" s="551"/>
      <c r="D10" s="552"/>
      <c r="E10" s="559">
        <v>4</v>
      </c>
      <c r="F10" s="561" t="s">
        <v>8</v>
      </c>
      <c r="G10" s="525">
        <v>4</v>
      </c>
      <c r="H10" s="438">
        <f t="shared" si="0"/>
        <v>0</v>
      </c>
    </row>
    <row r="11" spans="1:13" x14ac:dyDescent="0.25">
      <c r="A11" s="1"/>
      <c r="B11" s="247" t="s">
        <v>212</v>
      </c>
      <c r="C11" s="96"/>
      <c r="D11" s="2"/>
      <c r="E11" s="77">
        <f>0.001*E8/(0.25*3.14*(0.0254*E10)^2)</f>
        <v>1.2234375000000002</v>
      </c>
      <c r="F11" s="319" t="s">
        <v>9</v>
      </c>
      <c r="G11" s="454">
        <f>0.001*G8/(0.25*3.14*(0.0254*G10)^2)</f>
        <v>1.2234375000000002</v>
      </c>
      <c r="H11" s="438">
        <f t="shared" si="0"/>
        <v>0</v>
      </c>
    </row>
    <row r="12" spans="1:13" x14ac:dyDescent="0.25">
      <c r="A12" s="342" t="s">
        <v>364</v>
      </c>
      <c r="B12" s="248" t="s">
        <v>54</v>
      </c>
      <c r="C12" s="249"/>
      <c r="D12" s="2"/>
      <c r="E12" s="45">
        <f>(10.672*E9*(0.001*E8/E7)^1.852)/(0.0254*E10)^4.871</f>
        <v>3.996696573341791E-2</v>
      </c>
      <c r="F12" s="519" t="s">
        <v>4</v>
      </c>
      <c r="G12" s="439">
        <f>(10.672*G9*(0.001*G8/G7)^1.852)/(0.0254*G10)^4.871</f>
        <v>3.996696573341791E-2</v>
      </c>
      <c r="H12" s="438">
        <f t="shared" si="0"/>
        <v>0</v>
      </c>
      <c r="J12" s="28"/>
      <c r="K12" s="28"/>
      <c r="L12" s="201"/>
    </row>
    <row r="13" spans="1:13" x14ac:dyDescent="0.25">
      <c r="A13" s="1"/>
      <c r="B13" s="247" t="s">
        <v>69</v>
      </c>
      <c r="C13" s="96"/>
      <c r="E13" s="77">
        <f>E11^2/19.6</f>
        <v>7.6367312061543388E-2</v>
      </c>
      <c r="F13" s="319" t="s">
        <v>4</v>
      </c>
      <c r="G13" s="454">
        <f>G11^2/19.6</f>
        <v>7.6367312061543388E-2</v>
      </c>
      <c r="H13" s="438">
        <f t="shared" si="0"/>
        <v>0</v>
      </c>
      <c r="J13" s="28"/>
      <c r="K13" s="28"/>
      <c r="L13" s="202"/>
      <c r="M13" s="203"/>
    </row>
    <row r="14" spans="1:13" x14ac:dyDescent="0.25">
      <c r="A14" s="1"/>
      <c r="B14" s="204" t="s">
        <v>70</v>
      </c>
      <c r="C14" s="520" t="s">
        <v>177</v>
      </c>
      <c r="D14" s="520" t="s">
        <v>213</v>
      </c>
      <c r="E14" s="537" t="s">
        <v>214</v>
      </c>
      <c r="F14" s="319"/>
      <c r="G14" s="543" t="s">
        <v>214</v>
      </c>
      <c r="H14" s="438"/>
      <c r="J14" s="28"/>
      <c r="K14" s="28"/>
      <c r="L14" s="205"/>
      <c r="M14" s="206"/>
    </row>
    <row r="15" spans="1:13" x14ac:dyDescent="0.25">
      <c r="A15" s="274" t="s">
        <v>341</v>
      </c>
      <c r="B15" s="191" t="s">
        <v>342</v>
      </c>
      <c r="C15" s="113">
        <v>0.9</v>
      </c>
      <c r="D15" s="113">
        <v>1</v>
      </c>
      <c r="E15" s="538">
        <f>C15*D15*E13</f>
        <v>6.8730580855389051E-2</v>
      </c>
      <c r="F15" s="319" t="s">
        <v>4</v>
      </c>
      <c r="G15" s="454">
        <f>C15*D15*$G$13</f>
        <v>6.8730580855389051E-2</v>
      </c>
      <c r="H15" s="438">
        <f t="shared" si="0"/>
        <v>0</v>
      </c>
      <c r="J15" s="28"/>
      <c r="K15" s="28"/>
      <c r="L15" s="205"/>
      <c r="M15" s="206"/>
    </row>
    <row r="16" spans="1:13" x14ac:dyDescent="0.25">
      <c r="A16" s="274" t="s">
        <v>343</v>
      </c>
      <c r="B16" s="191" t="s">
        <v>344</v>
      </c>
      <c r="C16" s="113">
        <v>1.6</v>
      </c>
      <c r="D16" s="113">
        <v>1</v>
      </c>
      <c r="E16" s="538">
        <f>C16*D16*E13</f>
        <v>0.12218769929846943</v>
      </c>
      <c r="F16" s="319" t="s">
        <v>4</v>
      </c>
      <c r="G16" s="454">
        <f t="shared" ref="G16:G17" si="1">C16*D16*$G$13</f>
        <v>0.12218769929846943</v>
      </c>
      <c r="H16" s="438">
        <f t="shared" si="0"/>
        <v>0</v>
      </c>
      <c r="J16" s="28"/>
      <c r="K16" s="28"/>
      <c r="L16" s="205"/>
      <c r="M16" s="206"/>
    </row>
    <row r="17" spans="1:13" x14ac:dyDescent="0.25">
      <c r="A17" s="274" t="s">
        <v>341</v>
      </c>
      <c r="B17" s="191" t="s">
        <v>216</v>
      </c>
      <c r="C17" s="113">
        <v>1.8</v>
      </c>
      <c r="D17" s="113">
        <v>1</v>
      </c>
      <c r="E17" s="538">
        <f>C17*D17*E13</f>
        <v>0.1374611617107781</v>
      </c>
      <c r="F17" s="319" t="s">
        <v>4</v>
      </c>
      <c r="G17" s="454">
        <f t="shared" si="1"/>
        <v>0.1374611617107781</v>
      </c>
      <c r="H17" s="438">
        <f t="shared" si="0"/>
        <v>0</v>
      </c>
      <c r="J17" s="28"/>
      <c r="K17" s="28"/>
      <c r="L17" s="205"/>
      <c r="M17" s="206"/>
    </row>
    <row r="18" spans="1:13" ht="29.25" customHeight="1" x14ac:dyDescent="0.25">
      <c r="A18" s="1"/>
      <c r="B18" s="318" t="s">
        <v>345</v>
      </c>
      <c r="C18" s="532"/>
      <c r="D18" s="533" t="s">
        <v>205</v>
      </c>
      <c r="E18" s="534">
        <f>E24+E27</f>
        <v>0.16277357334194278</v>
      </c>
      <c r="F18" s="545" t="s">
        <v>4</v>
      </c>
      <c r="G18" s="546">
        <f>G24+G27</f>
        <v>0.16277357334194278</v>
      </c>
      <c r="H18" s="438">
        <f t="shared" si="0"/>
        <v>0</v>
      </c>
      <c r="J18" s="28"/>
      <c r="K18" s="28"/>
      <c r="L18" s="205"/>
      <c r="M18" s="206"/>
    </row>
    <row r="19" spans="1:13" ht="18.75" x14ac:dyDescent="0.35">
      <c r="A19" s="1"/>
      <c r="B19" s="90" t="s">
        <v>206</v>
      </c>
      <c r="C19" s="319" t="s">
        <v>215</v>
      </c>
      <c r="D19" s="319" t="s">
        <v>208</v>
      </c>
      <c r="E19" s="535">
        <v>150</v>
      </c>
      <c r="F19" s="199"/>
      <c r="G19" s="547">
        <v>150</v>
      </c>
      <c r="H19" s="438">
        <f t="shared" si="0"/>
        <v>0</v>
      </c>
      <c r="J19" s="28"/>
      <c r="K19" s="28"/>
      <c r="L19" s="205"/>
      <c r="M19" s="206"/>
    </row>
    <row r="20" spans="1:13" x14ac:dyDescent="0.25">
      <c r="A20" s="1"/>
      <c r="B20" s="75" t="s">
        <v>209</v>
      </c>
      <c r="C20" s="74"/>
      <c r="D20" s="2"/>
      <c r="E20" s="156">
        <f>E5</f>
        <v>9.9137704949999996</v>
      </c>
      <c r="F20" s="278" t="s">
        <v>0</v>
      </c>
      <c r="G20" s="489">
        <f>G5</f>
        <v>9.9137704949999996</v>
      </c>
      <c r="H20" s="438">
        <f t="shared" si="0"/>
        <v>0</v>
      </c>
      <c r="J20" s="28"/>
      <c r="K20" s="28"/>
      <c r="L20" s="205"/>
      <c r="M20" s="206"/>
    </row>
    <row r="21" spans="1:13" x14ac:dyDescent="0.25">
      <c r="A21" s="1"/>
      <c r="B21" s="550" t="s">
        <v>210</v>
      </c>
      <c r="C21" s="551"/>
      <c r="D21" s="552"/>
      <c r="E21" s="553">
        <v>1.9</v>
      </c>
      <c r="F21" s="554" t="s">
        <v>28</v>
      </c>
      <c r="G21" s="157">
        <v>1.9</v>
      </c>
      <c r="H21" s="438">
        <f t="shared" si="0"/>
        <v>0</v>
      </c>
      <c r="J21" s="28"/>
      <c r="K21" s="28"/>
      <c r="L21" s="205"/>
      <c r="M21" s="206"/>
    </row>
    <row r="22" spans="1:13" x14ac:dyDescent="0.25">
      <c r="A22" s="1"/>
      <c r="B22" s="555" t="s">
        <v>211</v>
      </c>
      <c r="C22" s="551"/>
      <c r="D22" s="552"/>
      <c r="E22" s="559">
        <v>4</v>
      </c>
      <c r="F22" s="561" t="s">
        <v>8</v>
      </c>
      <c r="G22" s="525">
        <v>4</v>
      </c>
      <c r="H22" s="438">
        <f t="shared" si="0"/>
        <v>0</v>
      </c>
      <c r="J22" s="28"/>
      <c r="K22" s="28"/>
      <c r="L22" s="205"/>
      <c r="M22" s="206"/>
    </row>
    <row r="23" spans="1:13" x14ac:dyDescent="0.25">
      <c r="A23" s="1"/>
      <c r="B23" s="247" t="s">
        <v>212</v>
      </c>
      <c r="C23" s="96"/>
      <c r="D23" s="2"/>
      <c r="E23" s="77">
        <f>0.001*E20/(0.25*3.14*(0.0254*E22)^2)</f>
        <v>1.2234375000000002</v>
      </c>
      <c r="F23" s="319" t="s">
        <v>9</v>
      </c>
      <c r="G23" s="454">
        <f>0.001*G20/(0.25*3.14*(0.0254*G22)^2)</f>
        <v>1.2234375000000002</v>
      </c>
      <c r="H23" s="438">
        <f t="shared" si="0"/>
        <v>0</v>
      </c>
      <c r="J23" s="28"/>
      <c r="K23" s="28"/>
      <c r="L23" s="205"/>
      <c r="M23" s="206"/>
    </row>
    <row r="24" spans="1:13" x14ac:dyDescent="0.25">
      <c r="A24" s="342" t="s">
        <v>364</v>
      </c>
      <c r="B24" s="248" t="s">
        <v>54</v>
      </c>
      <c r="C24" s="249"/>
      <c r="D24" s="2"/>
      <c r="E24" s="45">
        <f>(10.672*E21*(0.001*E20/E19)^1.852)/(0.0254*E22)^4.871</f>
        <v>2.5312411631164676E-2</v>
      </c>
      <c r="F24" s="519" t="s">
        <v>4</v>
      </c>
      <c r="G24" s="439">
        <f>(10.672*G21*(0.001*G20/G19)^1.852)/(0.0254*G22)^4.871</f>
        <v>2.5312411631164676E-2</v>
      </c>
      <c r="H24" s="438">
        <f t="shared" si="0"/>
        <v>0</v>
      </c>
      <c r="J24" s="28"/>
      <c r="K24" s="28"/>
      <c r="L24" s="205"/>
      <c r="M24" s="206"/>
    </row>
    <row r="25" spans="1:13" x14ac:dyDescent="0.25">
      <c r="A25" s="1"/>
      <c r="B25" s="247" t="s">
        <v>69</v>
      </c>
      <c r="C25" s="96"/>
      <c r="E25" s="77">
        <f>E23^2/19.6</f>
        <v>7.6367312061543388E-2</v>
      </c>
      <c r="F25" s="319" t="s">
        <v>4</v>
      </c>
      <c r="G25" s="454">
        <f>G23^2/19.6</f>
        <v>7.6367312061543388E-2</v>
      </c>
      <c r="H25" s="438">
        <f t="shared" si="0"/>
        <v>0</v>
      </c>
      <c r="J25" s="28"/>
      <c r="K25" s="28"/>
      <c r="L25" s="205"/>
      <c r="M25" s="206"/>
    </row>
    <row r="26" spans="1:13" x14ac:dyDescent="0.25">
      <c r="A26" s="1"/>
      <c r="B26" s="207" t="s">
        <v>70</v>
      </c>
      <c r="C26" s="208" t="s">
        <v>177</v>
      </c>
      <c r="D26" s="208" t="s">
        <v>213</v>
      </c>
      <c r="E26" s="537" t="s">
        <v>214</v>
      </c>
      <c r="F26" s="319"/>
      <c r="G26" s="543" t="s">
        <v>214</v>
      </c>
      <c r="H26" s="438"/>
    </row>
    <row r="27" spans="1:13" x14ac:dyDescent="0.25">
      <c r="A27" s="274" t="s">
        <v>341</v>
      </c>
      <c r="B27" s="90" t="s">
        <v>216</v>
      </c>
      <c r="C27" s="321">
        <v>1.8</v>
      </c>
      <c r="D27" s="322">
        <v>1</v>
      </c>
      <c r="E27" s="77">
        <f>C27*D27*E25</f>
        <v>0.1374611617107781</v>
      </c>
      <c r="F27" s="319" t="s">
        <v>4</v>
      </c>
      <c r="G27" s="454">
        <f>C27*D27*G25</f>
        <v>0.1374611617107781</v>
      </c>
      <c r="H27" s="438">
        <f t="shared" si="0"/>
        <v>0</v>
      </c>
    </row>
    <row r="28" spans="1:13" ht="26.25" customHeight="1" x14ac:dyDescent="0.25">
      <c r="A28" s="1"/>
      <c r="B28" s="318" t="s">
        <v>346</v>
      </c>
      <c r="C28" s="532" t="s">
        <v>205</v>
      </c>
      <c r="D28" s="533"/>
      <c r="E28" s="534">
        <f>SUM(E35:E43)</f>
        <v>0.17322675938419452</v>
      </c>
      <c r="F28" s="545" t="s">
        <v>4</v>
      </c>
      <c r="G28" s="546">
        <f>SUM(G35:G43)</f>
        <v>0.17322675938419452</v>
      </c>
      <c r="H28" s="438">
        <f t="shared" si="0"/>
        <v>0</v>
      </c>
    </row>
    <row r="29" spans="1:13" ht="18.75" x14ac:dyDescent="0.35">
      <c r="A29" s="1"/>
      <c r="B29" s="90" t="s">
        <v>206</v>
      </c>
      <c r="C29" s="319" t="s">
        <v>207</v>
      </c>
      <c r="D29" s="319" t="s">
        <v>347</v>
      </c>
      <c r="E29" s="535">
        <v>150</v>
      </c>
      <c r="F29" s="199"/>
      <c r="G29" s="547">
        <v>150</v>
      </c>
      <c r="H29" s="438">
        <f t="shared" si="0"/>
        <v>0</v>
      </c>
    </row>
    <row r="30" spans="1:13" x14ac:dyDescent="0.25">
      <c r="A30" s="274" t="s">
        <v>437</v>
      </c>
      <c r="B30" s="247" t="s">
        <v>367</v>
      </c>
      <c r="C30" s="96"/>
      <c r="D30" s="2"/>
      <c r="E30" s="77">
        <f>'Parrilla Nitrificación Parcial'!E59</f>
        <v>1.8</v>
      </c>
      <c r="F30" s="319" t="s">
        <v>4</v>
      </c>
      <c r="G30" s="454">
        <f>'Parrilla Nitrificación Parcial'!G59</f>
        <v>1.8</v>
      </c>
      <c r="H30" s="438">
        <f t="shared" si="0"/>
        <v>0</v>
      </c>
    </row>
    <row r="31" spans="1:13" x14ac:dyDescent="0.25">
      <c r="A31" s="1"/>
      <c r="B31" s="248" t="s">
        <v>368</v>
      </c>
      <c r="C31" s="249"/>
      <c r="D31" s="2"/>
      <c r="E31" s="45">
        <v>1.3</v>
      </c>
      <c r="F31" s="519" t="s">
        <v>4</v>
      </c>
      <c r="G31" s="439">
        <v>1.3</v>
      </c>
      <c r="H31" s="438">
        <f t="shared" si="0"/>
        <v>0</v>
      </c>
    </row>
    <row r="32" spans="1:13" x14ac:dyDescent="0.25">
      <c r="A32" s="1"/>
      <c r="B32" s="247" t="s">
        <v>349</v>
      </c>
      <c r="C32" s="96"/>
      <c r="E32" s="77">
        <f>E31+(E3-1)*E30</f>
        <v>6.7</v>
      </c>
      <c r="F32" s="319" t="s">
        <v>4</v>
      </c>
      <c r="G32" s="454">
        <f>G31+(G3-1)*G30</f>
        <v>6.7</v>
      </c>
      <c r="H32" s="438">
        <f t="shared" si="0"/>
        <v>0</v>
      </c>
    </row>
    <row r="33" spans="1:8" ht="15" customHeight="1" x14ac:dyDescent="0.25">
      <c r="A33" s="1"/>
      <c r="B33" s="323" t="s">
        <v>350</v>
      </c>
      <c r="C33" s="323" t="s">
        <v>351</v>
      </c>
      <c r="D33" s="323" t="s">
        <v>352</v>
      </c>
      <c r="E33" s="530" t="s">
        <v>353</v>
      </c>
      <c r="F33" s="540"/>
      <c r="G33" s="530" t="s">
        <v>353</v>
      </c>
      <c r="H33" s="549"/>
    </row>
    <row r="34" spans="1:8" ht="15" customHeight="1" x14ac:dyDescent="0.25">
      <c r="A34" s="1"/>
      <c r="B34" s="324"/>
      <c r="C34" s="324" t="s">
        <v>8</v>
      </c>
      <c r="D34" s="541" t="s">
        <v>0</v>
      </c>
      <c r="E34" s="542"/>
      <c r="F34" s="88"/>
      <c r="G34" s="548"/>
      <c r="H34" s="454"/>
    </row>
    <row r="35" spans="1:8" ht="15" customHeight="1" x14ac:dyDescent="0.25">
      <c r="A35" s="1"/>
      <c r="B35" s="324">
        <v>1</v>
      </c>
      <c r="C35" s="324">
        <v>4</v>
      </c>
      <c r="D35" s="326">
        <f>E5</f>
        <v>9.9137704949999996</v>
      </c>
      <c r="E35" s="539">
        <f t="shared" ref="E35:E43" si="2">(10.672*$E$32*(0.001*D35/$E$29)^1.852)/(0.0254*C35)^4.871</f>
        <v>8.9259556804633322E-2</v>
      </c>
      <c r="F35" s="319" t="s">
        <v>4</v>
      </c>
      <c r="G35" s="449">
        <f t="shared" ref="G35:G43" si="3">(10.672*$G$32*(0.001*D35/$G$29)^1.852)/(0.0254*C35)^4.871</f>
        <v>8.9259556804633322E-2</v>
      </c>
      <c r="H35" s="438">
        <f t="shared" si="0"/>
        <v>0</v>
      </c>
    </row>
    <row r="36" spans="1:8" ht="15" customHeight="1" x14ac:dyDescent="0.25">
      <c r="A36" s="1"/>
      <c r="B36" s="325">
        <f>B35+1</f>
        <v>2</v>
      </c>
      <c r="C36" s="325">
        <v>4</v>
      </c>
      <c r="D36" s="326">
        <f t="shared" ref="D36:D43" si="4">MAX(0,D35-$E$4)</f>
        <v>7.4353278712499993</v>
      </c>
      <c r="E36" s="539">
        <f t="shared" si="2"/>
        <v>5.2392387066937801E-2</v>
      </c>
      <c r="F36" s="319" t="s">
        <v>4</v>
      </c>
      <c r="G36" s="449">
        <f t="shared" si="3"/>
        <v>5.2392387066937801E-2</v>
      </c>
      <c r="H36" s="438">
        <f t="shared" si="0"/>
        <v>0</v>
      </c>
    </row>
    <row r="37" spans="1:8" ht="15.95" customHeight="1" x14ac:dyDescent="0.25">
      <c r="A37" s="1"/>
      <c r="B37" s="325">
        <f t="shared" ref="B37:B43" si="5">B36+1</f>
        <v>3</v>
      </c>
      <c r="C37" s="325">
        <v>4</v>
      </c>
      <c r="D37" s="326">
        <f t="shared" si="4"/>
        <v>4.9568852474999989</v>
      </c>
      <c r="E37" s="539">
        <f t="shared" si="2"/>
        <v>2.4725619073905161E-2</v>
      </c>
      <c r="F37" s="319" t="s">
        <v>4</v>
      </c>
      <c r="G37" s="449">
        <f t="shared" si="3"/>
        <v>2.4725619073905161E-2</v>
      </c>
      <c r="H37" s="438">
        <f t="shared" si="0"/>
        <v>0</v>
      </c>
    </row>
    <row r="38" spans="1:8" ht="15.95" customHeight="1" x14ac:dyDescent="0.25">
      <c r="A38" s="1"/>
      <c r="B38" s="325">
        <f t="shared" si="5"/>
        <v>4</v>
      </c>
      <c r="C38" s="325">
        <v>4</v>
      </c>
      <c r="D38" s="326">
        <f t="shared" si="4"/>
        <v>2.478442623749999</v>
      </c>
      <c r="E38" s="539">
        <f t="shared" si="2"/>
        <v>6.8491964387182381E-3</v>
      </c>
      <c r="F38" s="319" t="s">
        <v>4</v>
      </c>
      <c r="G38" s="449">
        <f t="shared" si="3"/>
        <v>6.8491964387182381E-3</v>
      </c>
      <c r="H38" s="438">
        <f t="shared" si="0"/>
        <v>0</v>
      </c>
    </row>
    <row r="39" spans="1:8" ht="15.95" customHeight="1" x14ac:dyDescent="0.25">
      <c r="A39" s="1"/>
      <c r="B39" s="325">
        <f t="shared" si="5"/>
        <v>5</v>
      </c>
      <c r="C39" s="325">
        <v>4</v>
      </c>
      <c r="D39" s="326">
        <f t="shared" si="4"/>
        <v>0</v>
      </c>
      <c r="E39" s="539">
        <f t="shared" si="2"/>
        <v>0</v>
      </c>
      <c r="F39" s="319" t="s">
        <v>4</v>
      </c>
      <c r="G39" s="449">
        <f t="shared" si="3"/>
        <v>0</v>
      </c>
      <c r="H39" s="438">
        <f t="shared" si="0"/>
        <v>0</v>
      </c>
    </row>
    <row r="40" spans="1:8" ht="15.95" customHeight="1" x14ac:dyDescent="0.25">
      <c r="A40" s="1"/>
      <c r="B40" s="325">
        <f t="shared" si="5"/>
        <v>6</v>
      </c>
      <c r="C40" s="325">
        <v>4</v>
      </c>
      <c r="D40" s="326">
        <f t="shared" si="4"/>
        <v>0</v>
      </c>
      <c r="E40" s="539">
        <f t="shared" si="2"/>
        <v>0</v>
      </c>
      <c r="F40" s="319" t="s">
        <v>4</v>
      </c>
      <c r="G40" s="449">
        <f t="shared" si="3"/>
        <v>0</v>
      </c>
      <c r="H40" s="438">
        <f t="shared" si="0"/>
        <v>0</v>
      </c>
    </row>
    <row r="41" spans="1:8" ht="15.95" customHeight="1" x14ac:dyDescent="0.25">
      <c r="A41" s="1"/>
      <c r="B41" s="325">
        <f t="shared" si="5"/>
        <v>7</v>
      </c>
      <c r="C41" s="325">
        <v>4</v>
      </c>
      <c r="D41" s="326">
        <f t="shared" si="4"/>
        <v>0</v>
      </c>
      <c r="E41" s="539">
        <f t="shared" si="2"/>
        <v>0</v>
      </c>
      <c r="F41" s="319" t="s">
        <v>4</v>
      </c>
      <c r="G41" s="449">
        <f t="shared" si="3"/>
        <v>0</v>
      </c>
      <c r="H41" s="438">
        <f t="shared" si="0"/>
        <v>0</v>
      </c>
    </row>
    <row r="42" spans="1:8" ht="15.95" customHeight="1" x14ac:dyDescent="0.25">
      <c r="A42" s="1"/>
      <c r="B42" s="325">
        <f t="shared" si="5"/>
        <v>8</v>
      </c>
      <c r="C42" s="325">
        <v>4</v>
      </c>
      <c r="D42" s="326">
        <f t="shared" si="4"/>
        <v>0</v>
      </c>
      <c r="E42" s="539">
        <f t="shared" si="2"/>
        <v>0</v>
      </c>
      <c r="F42" s="319" t="s">
        <v>4</v>
      </c>
      <c r="G42" s="449">
        <f t="shared" si="3"/>
        <v>0</v>
      </c>
      <c r="H42" s="438">
        <f t="shared" si="0"/>
        <v>0</v>
      </c>
    </row>
    <row r="43" spans="1:8" ht="15.95" customHeight="1" x14ac:dyDescent="0.25">
      <c r="A43" s="1"/>
      <c r="B43" s="325">
        <f t="shared" si="5"/>
        <v>9</v>
      </c>
      <c r="C43" s="325">
        <v>4</v>
      </c>
      <c r="D43" s="326">
        <f t="shared" si="4"/>
        <v>0</v>
      </c>
      <c r="E43" s="539">
        <f t="shared" si="2"/>
        <v>0</v>
      </c>
      <c r="F43" s="319" t="s">
        <v>4</v>
      </c>
      <c r="G43" s="449">
        <f t="shared" si="3"/>
        <v>0</v>
      </c>
      <c r="H43" s="438">
        <f t="shared" si="0"/>
        <v>0</v>
      </c>
    </row>
    <row r="44" spans="1:8" ht="30" customHeight="1" x14ac:dyDescent="0.25">
      <c r="A44" s="1"/>
      <c r="B44" s="318" t="s">
        <v>354</v>
      </c>
      <c r="C44" s="532"/>
      <c r="D44" s="533" t="s">
        <v>205</v>
      </c>
      <c r="E44" s="534">
        <f>SUM(E53:E70)</f>
        <v>2.8561997897149735E-2</v>
      </c>
      <c r="F44" s="545" t="s">
        <v>4</v>
      </c>
      <c r="G44" s="546">
        <f>SUM(G53:G70)</f>
        <v>2.8561997897149735E-2</v>
      </c>
      <c r="H44" s="438">
        <f t="shared" si="0"/>
        <v>0</v>
      </c>
    </row>
    <row r="45" spans="1:8" ht="15.95" customHeight="1" x14ac:dyDescent="0.25">
      <c r="A45" s="274" t="s">
        <v>437</v>
      </c>
      <c r="B45" s="75" t="s">
        <v>64</v>
      </c>
      <c r="C45" s="74"/>
      <c r="D45" s="2"/>
      <c r="E45" s="156">
        <f>'Parrilla Nitrificación Parcial'!E23</f>
        <v>2.4784426237499999</v>
      </c>
      <c r="F45" s="278" t="s">
        <v>0</v>
      </c>
      <c r="G45" s="489">
        <f>'Parrilla Nitrificación Parcial'!G23</f>
        <v>2.4784426237499999</v>
      </c>
      <c r="H45" s="438">
        <f t="shared" si="0"/>
        <v>0</v>
      </c>
    </row>
    <row r="46" spans="1:8" ht="15.95" customHeight="1" x14ac:dyDescent="0.35">
      <c r="A46" s="1"/>
      <c r="B46" s="90" t="s">
        <v>206</v>
      </c>
      <c r="C46" s="319" t="s">
        <v>207</v>
      </c>
      <c r="D46" s="319" t="s">
        <v>347</v>
      </c>
      <c r="E46" s="535">
        <v>150</v>
      </c>
      <c r="F46" s="199"/>
      <c r="G46" s="547">
        <v>150</v>
      </c>
      <c r="H46" s="438">
        <f t="shared" si="0"/>
        <v>0</v>
      </c>
    </row>
    <row r="47" spans="1:8" ht="15.95" customHeight="1" x14ac:dyDescent="0.25">
      <c r="A47" s="1"/>
      <c r="B47" s="555" t="s">
        <v>355</v>
      </c>
      <c r="C47" s="551"/>
      <c r="D47" s="552"/>
      <c r="E47" s="559">
        <v>18</v>
      </c>
      <c r="F47" s="561" t="s">
        <v>24</v>
      </c>
      <c r="G47" s="525">
        <v>18</v>
      </c>
      <c r="H47" s="438">
        <f t="shared" si="0"/>
        <v>0</v>
      </c>
    </row>
    <row r="48" spans="1:8" ht="15.95" customHeight="1" x14ac:dyDescent="0.25">
      <c r="A48" s="1"/>
      <c r="B48" s="562" t="s">
        <v>356</v>
      </c>
      <c r="C48" s="563"/>
      <c r="D48" s="552"/>
      <c r="E48" s="564">
        <v>0.14000000000000001</v>
      </c>
      <c r="F48" s="565" t="s">
        <v>4</v>
      </c>
      <c r="G48" s="454">
        <v>0.14000000000000001</v>
      </c>
      <c r="H48" s="438">
        <f t="shared" si="0"/>
        <v>0</v>
      </c>
    </row>
    <row r="49" spans="1:8" ht="15.95" customHeight="1" x14ac:dyDescent="0.25">
      <c r="A49" s="1"/>
      <c r="B49" s="248" t="s">
        <v>357</v>
      </c>
      <c r="C49" s="249"/>
      <c r="D49" s="2"/>
      <c r="E49" s="45">
        <f>E47*E48</f>
        <v>2.5200000000000005</v>
      </c>
      <c r="F49" s="519" t="s">
        <v>4</v>
      </c>
      <c r="G49" s="439">
        <f>G47*G48</f>
        <v>2.5200000000000005</v>
      </c>
      <c r="H49" s="438">
        <f t="shared" si="0"/>
        <v>0</v>
      </c>
    </row>
    <row r="50" spans="1:8" ht="15.75" customHeight="1" x14ac:dyDescent="0.25">
      <c r="A50" s="1"/>
      <c r="B50" s="247" t="s">
        <v>358</v>
      </c>
      <c r="C50" s="96"/>
      <c r="E50" s="77">
        <f>E45/E47</f>
        <v>0.137691256875</v>
      </c>
      <c r="F50" s="319" t="s">
        <v>0</v>
      </c>
      <c r="G50" s="454">
        <f>G45/G47</f>
        <v>0.137691256875</v>
      </c>
      <c r="H50" s="438">
        <f t="shared" si="0"/>
        <v>0</v>
      </c>
    </row>
    <row r="51" spans="1:8" x14ac:dyDescent="0.25">
      <c r="A51" s="1"/>
      <c r="B51" s="323" t="s">
        <v>350</v>
      </c>
      <c r="C51" s="323" t="s">
        <v>351</v>
      </c>
      <c r="D51" s="323" t="s">
        <v>352</v>
      </c>
      <c r="E51" s="530" t="s">
        <v>353</v>
      </c>
      <c r="F51" s="88"/>
      <c r="G51" s="530" t="s">
        <v>353</v>
      </c>
      <c r="H51" s="549"/>
    </row>
    <row r="52" spans="1:8" x14ac:dyDescent="0.25">
      <c r="A52" s="1"/>
      <c r="B52" s="324"/>
      <c r="C52" s="324" t="s">
        <v>8</v>
      </c>
      <c r="D52" s="324" t="s">
        <v>0</v>
      </c>
      <c r="E52" s="324" t="s">
        <v>4</v>
      </c>
      <c r="F52" s="88"/>
      <c r="G52" s="324" t="s">
        <v>4</v>
      </c>
      <c r="H52" s="454"/>
    </row>
    <row r="53" spans="1:8" x14ac:dyDescent="0.25">
      <c r="A53" s="1"/>
      <c r="B53" s="325">
        <v>1</v>
      </c>
      <c r="C53" s="326">
        <v>2</v>
      </c>
      <c r="D53" s="326">
        <f>E45</f>
        <v>2.4784426237499999</v>
      </c>
      <c r="E53" s="327">
        <f t="shared" ref="E53:E70" si="6">(10.672*$E$48*(0.001*D53/$E$46)^1.852)/(0.0254*C53)^4.871</f>
        <v>4.1880317363910723E-3</v>
      </c>
      <c r="F53" s="200"/>
      <c r="G53" s="327">
        <f>(10.672*$G$48*(0.001*D53/$G$46)^1.852)/(0.0254*C53)^4.871</f>
        <v>4.1880317363910723E-3</v>
      </c>
      <c r="H53" s="438">
        <f t="shared" ref="H53:H70" si="7">G53-E53</f>
        <v>0</v>
      </c>
    </row>
    <row r="54" spans="1:8" x14ac:dyDescent="0.25">
      <c r="A54" s="1"/>
      <c r="B54" s="325">
        <f>B53+1</f>
        <v>2</v>
      </c>
      <c r="C54" s="326">
        <v>2</v>
      </c>
      <c r="D54" s="326">
        <f t="shared" ref="D54:D70" si="8">D53-$E$50</f>
        <v>2.3407513668749997</v>
      </c>
      <c r="E54" s="327">
        <f t="shared" si="6"/>
        <v>3.7673562235065361E-3</v>
      </c>
      <c r="F54" s="200"/>
      <c r="G54" s="327">
        <f t="shared" ref="G54:G70" si="9">(10.672*$G$48*(0.001*D54/$G$46)^1.852)/(0.0254*C54)^4.871</f>
        <v>3.7673562235065361E-3</v>
      </c>
      <c r="H54" s="438">
        <f t="shared" si="7"/>
        <v>0</v>
      </c>
    </row>
    <row r="55" spans="1:8" x14ac:dyDescent="0.25">
      <c r="A55" s="1"/>
      <c r="B55" s="325">
        <f t="shared" ref="B55:B70" si="10">B54+1</f>
        <v>3</v>
      </c>
      <c r="C55" s="326">
        <v>2</v>
      </c>
      <c r="D55" s="326">
        <f t="shared" si="8"/>
        <v>2.2030601099999996</v>
      </c>
      <c r="E55" s="327">
        <f t="shared" si="6"/>
        <v>3.3672510148286881E-3</v>
      </c>
      <c r="F55" s="88"/>
      <c r="G55" s="327">
        <f t="shared" si="9"/>
        <v>3.3672510148286881E-3</v>
      </c>
      <c r="H55" s="438">
        <f t="shared" si="7"/>
        <v>0</v>
      </c>
    </row>
    <row r="56" spans="1:8" x14ac:dyDescent="0.25">
      <c r="A56" s="1"/>
      <c r="B56" s="325">
        <f t="shared" si="10"/>
        <v>4</v>
      </c>
      <c r="C56" s="326">
        <v>2</v>
      </c>
      <c r="D56" s="326">
        <f t="shared" si="8"/>
        <v>2.0653688531249994</v>
      </c>
      <c r="E56" s="327">
        <f t="shared" si="6"/>
        <v>2.9879016380377826E-3</v>
      </c>
      <c r="F56" s="88"/>
      <c r="G56" s="327">
        <f t="shared" si="9"/>
        <v>2.9879016380377826E-3</v>
      </c>
      <c r="H56" s="438">
        <f t="shared" si="7"/>
        <v>0</v>
      </c>
    </row>
    <row r="57" spans="1:8" x14ac:dyDescent="0.25">
      <c r="A57" s="1"/>
      <c r="B57" s="325">
        <f t="shared" si="10"/>
        <v>5</v>
      </c>
      <c r="C57" s="326">
        <v>2</v>
      </c>
      <c r="D57" s="326">
        <f t="shared" si="8"/>
        <v>1.9276775962499995</v>
      </c>
      <c r="E57" s="327">
        <f t="shared" si="6"/>
        <v>2.6295074564598141E-3</v>
      </c>
      <c r="F57" s="88"/>
      <c r="G57" s="327">
        <f t="shared" si="9"/>
        <v>2.6295074564598141E-3</v>
      </c>
      <c r="H57" s="438">
        <f t="shared" si="7"/>
        <v>0</v>
      </c>
    </row>
    <row r="58" spans="1:8" x14ac:dyDescent="0.25">
      <c r="A58" s="1"/>
      <c r="B58" s="325">
        <f t="shared" si="10"/>
        <v>6</v>
      </c>
      <c r="C58" s="326">
        <v>2</v>
      </c>
      <c r="D58" s="326">
        <f t="shared" si="8"/>
        <v>1.7899863393749995</v>
      </c>
      <c r="E58" s="327">
        <f t="shared" si="6"/>
        <v>2.2922837361203825E-3</v>
      </c>
      <c r="F58" s="88"/>
      <c r="G58" s="327">
        <f t="shared" si="9"/>
        <v>2.2922837361203825E-3</v>
      </c>
      <c r="H58" s="438">
        <f t="shared" si="7"/>
        <v>0</v>
      </c>
    </row>
    <row r="59" spans="1:8" x14ac:dyDescent="0.25">
      <c r="A59" s="1"/>
      <c r="B59" s="325">
        <f t="shared" si="10"/>
        <v>7</v>
      </c>
      <c r="C59" s="326">
        <v>2</v>
      </c>
      <c r="D59" s="326">
        <f t="shared" si="8"/>
        <v>1.6522950824999996</v>
      </c>
      <c r="E59" s="327">
        <f t="shared" si="6"/>
        <v>1.9764641998680208E-3</v>
      </c>
      <c r="F59" s="88"/>
      <c r="G59" s="327">
        <f t="shared" si="9"/>
        <v>1.9764641998680208E-3</v>
      </c>
      <c r="H59" s="438">
        <f t="shared" si="7"/>
        <v>0</v>
      </c>
    </row>
    <row r="60" spans="1:8" x14ac:dyDescent="0.25">
      <c r="A60" s="1"/>
      <c r="B60" s="325">
        <f t="shared" si="10"/>
        <v>8</v>
      </c>
      <c r="C60" s="326">
        <v>2</v>
      </c>
      <c r="D60" s="326">
        <f t="shared" si="8"/>
        <v>1.5146038256249996</v>
      </c>
      <c r="E60" s="327">
        <f t="shared" si="6"/>
        <v>1.6823042322857242E-3</v>
      </c>
      <c r="F60" s="88"/>
      <c r="G60" s="327">
        <f t="shared" si="9"/>
        <v>1.6823042322857242E-3</v>
      </c>
      <c r="H60" s="438">
        <f t="shared" si="7"/>
        <v>0</v>
      </c>
    </row>
    <row r="61" spans="1:8" x14ac:dyDescent="0.25">
      <c r="A61" s="1"/>
      <c r="B61" s="325">
        <f t="shared" si="10"/>
        <v>9</v>
      </c>
      <c r="C61" s="326">
        <v>2</v>
      </c>
      <c r="D61" s="326">
        <f t="shared" si="8"/>
        <v>1.3769125687499997</v>
      </c>
      <c r="E61" s="327">
        <f t="shared" si="6"/>
        <v>1.4100849735674615E-3</v>
      </c>
      <c r="F61" s="88"/>
      <c r="G61" s="327">
        <f t="shared" si="9"/>
        <v>1.4100849735674615E-3</v>
      </c>
      <c r="H61" s="438">
        <f t="shared" si="7"/>
        <v>0</v>
      </c>
    </row>
    <row r="62" spans="1:8" x14ac:dyDescent="0.25">
      <c r="A62" s="1"/>
      <c r="B62" s="325">
        <f t="shared" si="10"/>
        <v>10</v>
      </c>
      <c r="C62" s="326">
        <v>2</v>
      </c>
      <c r="D62" s="326">
        <f t="shared" si="8"/>
        <v>1.2392213118749997</v>
      </c>
      <c r="E62" s="327">
        <f t="shared" si="6"/>
        <v>1.1601186594515562E-3</v>
      </c>
      <c r="F62" s="88"/>
      <c r="G62" s="327">
        <f t="shared" si="9"/>
        <v>1.1601186594515562E-3</v>
      </c>
      <c r="H62" s="438">
        <f t="shared" si="7"/>
        <v>0</v>
      </c>
    </row>
    <row r="63" spans="1:8" x14ac:dyDescent="0.25">
      <c r="A63" s="1"/>
      <c r="B63" s="325">
        <f t="shared" si="10"/>
        <v>11</v>
      </c>
      <c r="C63" s="326">
        <v>2</v>
      </c>
      <c r="D63" s="326">
        <f t="shared" si="8"/>
        <v>1.1015300549999998</v>
      </c>
      <c r="E63" s="327">
        <f t="shared" si="6"/>
        <v>9.3275576195279704E-4</v>
      </c>
      <c r="F63" s="88"/>
      <c r="G63" s="327">
        <f t="shared" si="9"/>
        <v>9.3275576195279704E-4</v>
      </c>
      <c r="H63" s="438">
        <f t="shared" si="7"/>
        <v>0</v>
      </c>
    </row>
    <row r="64" spans="1:8" x14ac:dyDescent="0.25">
      <c r="A64" s="1"/>
      <c r="B64" s="325">
        <f t="shared" si="10"/>
        <v>12</v>
      </c>
      <c r="C64" s="326">
        <v>2</v>
      </c>
      <c r="D64" s="326">
        <f t="shared" si="8"/>
        <v>0.96383879812499984</v>
      </c>
      <c r="E64" s="327">
        <f t="shared" si="6"/>
        <v>7.2839483017737481E-4</v>
      </c>
      <c r="F64" s="88"/>
      <c r="G64" s="327">
        <f t="shared" si="9"/>
        <v>7.2839483017737481E-4</v>
      </c>
      <c r="H64" s="438">
        <f t="shared" si="7"/>
        <v>0</v>
      </c>
    </row>
    <row r="65" spans="1:8" x14ac:dyDescent="0.25">
      <c r="A65" s="1"/>
      <c r="B65" s="325">
        <f t="shared" si="10"/>
        <v>13</v>
      </c>
      <c r="C65" s="326">
        <v>2</v>
      </c>
      <c r="D65" s="326">
        <f t="shared" si="8"/>
        <v>0.82614754124999989</v>
      </c>
      <c r="E65" s="327">
        <f t="shared" si="6"/>
        <v>5.4749656696268412E-4</v>
      </c>
      <c r="F65" s="88"/>
      <c r="G65" s="327">
        <f t="shared" si="9"/>
        <v>5.4749656696268412E-4</v>
      </c>
      <c r="H65" s="438">
        <f t="shared" si="7"/>
        <v>0</v>
      </c>
    </row>
    <row r="66" spans="1:8" x14ac:dyDescent="0.25">
      <c r="A66" s="1"/>
      <c r="B66" s="325">
        <f t="shared" si="10"/>
        <v>14</v>
      </c>
      <c r="C66" s="326">
        <v>2</v>
      </c>
      <c r="D66" s="326">
        <f t="shared" si="8"/>
        <v>0.68845628437499995</v>
      </c>
      <c r="E66" s="327">
        <f t="shared" si="6"/>
        <v>3.9060494098775328E-4</v>
      </c>
      <c r="G66" s="327">
        <f t="shared" si="9"/>
        <v>3.9060494098775328E-4</v>
      </c>
      <c r="H66" s="438">
        <f t="shared" si="7"/>
        <v>0</v>
      </c>
    </row>
    <row r="67" spans="1:8" x14ac:dyDescent="0.25">
      <c r="A67" s="1"/>
      <c r="B67" s="325">
        <f t="shared" si="10"/>
        <v>15</v>
      </c>
      <c r="C67" s="326">
        <v>2</v>
      </c>
      <c r="D67" s="326">
        <f t="shared" si="8"/>
        <v>0.5507650275</v>
      </c>
      <c r="E67" s="327">
        <f t="shared" si="6"/>
        <v>2.5838088922527312E-4</v>
      </c>
      <c r="G67" s="327">
        <f t="shared" si="9"/>
        <v>2.5838088922527312E-4</v>
      </c>
      <c r="H67" s="438">
        <f t="shared" si="7"/>
        <v>0</v>
      </c>
    </row>
    <row r="68" spans="1:8" x14ac:dyDescent="0.25">
      <c r="A68" s="1"/>
      <c r="B68" s="325">
        <f t="shared" si="10"/>
        <v>16</v>
      </c>
      <c r="C68" s="326">
        <v>2</v>
      </c>
      <c r="D68" s="326">
        <f t="shared" si="8"/>
        <v>0.413073770625</v>
      </c>
      <c r="E68" s="327">
        <f t="shared" si="6"/>
        <v>1.516609766349125E-4</v>
      </c>
      <c r="G68" s="327">
        <f t="shared" si="9"/>
        <v>1.516609766349125E-4</v>
      </c>
      <c r="H68" s="438">
        <f t="shared" si="7"/>
        <v>0</v>
      </c>
    </row>
    <row r="69" spans="1:8" x14ac:dyDescent="0.25">
      <c r="A69" s="1"/>
      <c r="B69" s="325">
        <f t="shared" si="10"/>
        <v>17</v>
      </c>
      <c r="C69" s="326">
        <v>2</v>
      </c>
      <c r="D69" s="326">
        <f t="shared" si="8"/>
        <v>0.27538251375</v>
      </c>
      <c r="E69" s="327">
        <f t="shared" si="6"/>
        <v>7.157359583292674E-5</v>
      </c>
      <c r="G69" s="327">
        <f t="shared" si="9"/>
        <v>7.157359583292674E-5</v>
      </c>
      <c r="H69" s="438">
        <f t="shared" si="7"/>
        <v>0</v>
      </c>
    </row>
    <row r="70" spans="1:8" x14ac:dyDescent="0.25">
      <c r="A70" s="1"/>
      <c r="B70" s="325">
        <f t="shared" si="10"/>
        <v>18</v>
      </c>
      <c r="C70" s="326">
        <v>2</v>
      </c>
      <c r="D70" s="326">
        <f t="shared" si="8"/>
        <v>0.137691256875</v>
      </c>
      <c r="E70" s="327">
        <f t="shared" si="6"/>
        <v>1.9826464858973285E-5</v>
      </c>
      <c r="G70" s="327">
        <f t="shared" si="9"/>
        <v>1.9826464858973285E-5</v>
      </c>
      <c r="H70" s="438">
        <f t="shared" si="7"/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DD946-E472-409A-8D71-A2CE5A844970}">
  <dimension ref="A1:O75"/>
  <sheetViews>
    <sheetView showGridLines="0" zoomScale="75" zoomScaleNormal="75" workbookViewId="0">
      <selection activeCell="K47" sqref="K47"/>
    </sheetView>
  </sheetViews>
  <sheetFormatPr baseColWidth="10" defaultRowHeight="15" x14ac:dyDescent="0.25"/>
  <cols>
    <col min="1" max="1" width="39.42578125" customWidth="1"/>
    <col min="2" max="2" width="38.85546875" customWidth="1"/>
    <col min="3" max="3" width="12" customWidth="1"/>
    <col min="4" max="4" width="14.140625" customWidth="1"/>
    <col min="5" max="5" width="17" customWidth="1"/>
    <col min="6" max="6" width="11.5703125" bestFit="1" customWidth="1"/>
    <col min="7" max="7" width="12.7109375" customWidth="1"/>
    <col min="8" max="8" width="14.140625" customWidth="1"/>
  </cols>
  <sheetData>
    <row r="1" spans="1:8" ht="31.5" x14ac:dyDescent="0.25">
      <c r="A1" s="506" t="s">
        <v>138</v>
      </c>
      <c r="G1" s="393" t="s">
        <v>139</v>
      </c>
      <c r="H1" s="394" t="s">
        <v>140</v>
      </c>
    </row>
    <row r="2" spans="1:8" ht="15.75" x14ac:dyDescent="0.25">
      <c r="A2" s="1"/>
      <c r="B2" s="507"/>
      <c r="C2" s="508" t="s">
        <v>470</v>
      </c>
      <c r="D2" s="2"/>
      <c r="E2" s="2"/>
      <c r="F2" s="2"/>
      <c r="G2" s="1"/>
      <c r="H2" s="157"/>
    </row>
    <row r="3" spans="1:8" ht="18.75" x14ac:dyDescent="0.4">
      <c r="A3" s="274" t="s">
        <v>321</v>
      </c>
      <c r="B3" s="599" t="s">
        <v>461</v>
      </c>
      <c r="C3" s="249"/>
      <c r="D3" s="600" t="s">
        <v>462</v>
      </c>
      <c r="E3" s="45">
        <v>2.2000000000000002</v>
      </c>
      <c r="F3" s="519" t="s">
        <v>4</v>
      </c>
      <c r="G3" s="439">
        <v>2.2000000000000002</v>
      </c>
      <c r="H3" s="157">
        <f t="shared" ref="H3:H5" si="0">G3-E3</f>
        <v>0</v>
      </c>
    </row>
    <row r="4" spans="1:8" ht="18" x14ac:dyDescent="0.4">
      <c r="A4" s="587" t="s">
        <v>463</v>
      </c>
      <c r="B4" s="601" t="s">
        <v>464</v>
      </c>
      <c r="C4" s="311"/>
      <c r="D4" s="510"/>
      <c r="E4" s="602">
        <f>E6+E17</f>
        <v>2.2003586336951657</v>
      </c>
      <c r="F4" s="603" t="s">
        <v>4</v>
      </c>
      <c r="G4" s="527">
        <f>G6+G17</f>
        <v>2.2003586336941958</v>
      </c>
      <c r="H4" s="157">
        <f t="shared" si="0"/>
        <v>-9.6989083431253675E-13</v>
      </c>
    </row>
    <row r="5" spans="1:8" x14ac:dyDescent="0.25">
      <c r="A5" s="587" t="s">
        <v>465</v>
      </c>
      <c r="B5" s="604" t="s">
        <v>466</v>
      </c>
      <c r="C5" s="311"/>
      <c r="D5" s="510"/>
      <c r="E5" s="511">
        <v>8.5999662091110523</v>
      </c>
      <c r="F5" s="512" t="s">
        <v>0</v>
      </c>
      <c r="G5" s="527">
        <v>8.5999662091091089</v>
      </c>
      <c r="H5" s="157">
        <f t="shared" si="0"/>
        <v>-1.943334382303874E-12</v>
      </c>
    </row>
    <row r="6" spans="1:8" ht="15.75" x14ac:dyDescent="0.25">
      <c r="A6" s="1"/>
      <c r="B6" s="605" t="s">
        <v>467</v>
      </c>
      <c r="C6" s="606"/>
      <c r="D6" s="607" t="s">
        <v>205</v>
      </c>
      <c r="E6" s="608">
        <f>E13+E16</f>
        <v>0.16512543001164959</v>
      </c>
      <c r="F6" s="609" t="s">
        <v>4</v>
      </c>
      <c r="G6" s="527">
        <f>G13+G16</f>
        <v>0.16512543001157567</v>
      </c>
      <c r="H6" s="157">
        <f>H13+H16</f>
        <v>-7.3895750629660029E-14</v>
      </c>
    </row>
    <row r="7" spans="1:8" ht="18.75" x14ac:dyDescent="0.35">
      <c r="A7" s="1"/>
      <c r="B7" s="75" t="s">
        <v>206</v>
      </c>
      <c r="C7" s="319" t="s">
        <v>215</v>
      </c>
      <c r="D7" s="319" t="s">
        <v>208</v>
      </c>
      <c r="E7" s="488">
        <v>150</v>
      </c>
      <c r="F7" s="516"/>
      <c r="G7" s="494">
        <v>150</v>
      </c>
      <c r="H7" s="157">
        <f t="shared" ref="H7:H14" si="1">G7-E7</f>
        <v>0</v>
      </c>
    </row>
    <row r="8" spans="1:8" x14ac:dyDescent="0.25">
      <c r="A8" s="1"/>
      <c r="B8" s="75" t="s">
        <v>87</v>
      </c>
      <c r="C8" s="319"/>
      <c r="D8" s="319"/>
      <c r="E8" s="488">
        <v>6</v>
      </c>
      <c r="F8" s="516"/>
      <c r="G8" s="494">
        <v>6</v>
      </c>
      <c r="H8" s="157">
        <f t="shared" si="1"/>
        <v>0</v>
      </c>
    </row>
    <row r="9" spans="1:8" x14ac:dyDescent="0.25">
      <c r="A9" s="1"/>
      <c r="B9" s="75" t="s">
        <v>209</v>
      </c>
      <c r="C9" s="74"/>
      <c r="D9" s="2"/>
      <c r="E9" s="517">
        <f>E5/E8</f>
        <v>1.4333277015185086</v>
      </c>
      <c r="F9" s="516" t="s">
        <v>0</v>
      </c>
      <c r="G9" s="528">
        <f>G5/G8</f>
        <v>1.4333277015181849</v>
      </c>
      <c r="H9" s="157">
        <f t="shared" si="1"/>
        <v>-3.2374103398069565E-13</v>
      </c>
    </row>
    <row r="10" spans="1:8" x14ac:dyDescent="0.25">
      <c r="A10" s="1"/>
      <c r="B10" s="550" t="s">
        <v>210</v>
      </c>
      <c r="C10" s="551"/>
      <c r="D10" s="552"/>
      <c r="E10" s="553">
        <v>0.45</v>
      </c>
      <c r="F10" s="554" t="s">
        <v>28</v>
      </c>
      <c r="G10" s="157">
        <v>0.45</v>
      </c>
      <c r="H10" s="157">
        <f t="shared" si="1"/>
        <v>0</v>
      </c>
    </row>
    <row r="11" spans="1:8" x14ac:dyDescent="0.25">
      <c r="A11" s="1"/>
      <c r="B11" s="555" t="s">
        <v>211</v>
      </c>
      <c r="C11" s="551"/>
      <c r="D11" s="552"/>
      <c r="E11" s="553">
        <v>1.5</v>
      </c>
      <c r="F11" s="556" t="s">
        <v>8</v>
      </c>
      <c r="G11" s="157">
        <v>1.5</v>
      </c>
      <c r="H11" s="157">
        <f t="shared" si="1"/>
        <v>0</v>
      </c>
    </row>
    <row r="12" spans="1:8" x14ac:dyDescent="0.25">
      <c r="A12" s="1"/>
      <c r="B12" s="247" t="s">
        <v>212</v>
      </c>
      <c r="C12" s="96"/>
      <c r="D12" s="2"/>
      <c r="E12" s="77">
        <f>0.001*E9/(0.25*3.14*(0.0254*E11)^2)</f>
        <v>1.2578414044888606</v>
      </c>
      <c r="F12" s="319" t="s">
        <v>9</v>
      </c>
      <c r="G12" s="454">
        <f>0.001*G9/(0.25*3.14*(0.0254*G11)^2)</f>
        <v>1.2578414044885766</v>
      </c>
      <c r="H12" s="157">
        <f t="shared" si="1"/>
        <v>-2.8399504969911504E-13</v>
      </c>
    </row>
    <row r="13" spans="1:8" x14ac:dyDescent="0.25">
      <c r="A13" s="342" t="s">
        <v>364</v>
      </c>
      <c r="B13" s="248" t="s">
        <v>54</v>
      </c>
      <c r="C13" s="249"/>
      <c r="D13" s="2"/>
      <c r="E13" s="45">
        <f>(10.672*E10*(0.001*E9/E7)^1.852)/(0.0254*E11)^4.871</f>
        <v>1.9824562770643615E-2</v>
      </c>
      <c r="F13" s="519" t="s">
        <v>4</v>
      </c>
      <c r="G13" s="439">
        <f>(10.672*G10*(0.001*G9/G7)^1.852)/(0.0254*G11)^4.871</f>
        <v>1.9824562770635306E-2</v>
      </c>
      <c r="H13" s="157">
        <f t="shared" si="1"/>
        <v>-8.309325449928906E-15</v>
      </c>
    </row>
    <row r="14" spans="1:8" x14ac:dyDescent="0.25">
      <c r="A14" s="1"/>
      <c r="B14" s="247" t="s">
        <v>69</v>
      </c>
      <c r="C14" s="96"/>
      <c r="D14" s="2"/>
      <c r="E14" s="77">
        <f>E12^2/19.6</f>
        <v>8.0722704022781089E-2</v>
      </c>
      <c r="F14" s="319" t="s">
        <v>4</v>
      </c>
      <c r="G14" s="454">
        <f>G12^2/19.6</f>
        <v>8.0722704022744646E-2</v>
      </c>
      <c r="H14" s="157">
        <f t="shared" si="1"/>
        <v>-3.6443070783320763E-14</v>
      </c>
    </row>
    <row r="15" spans="1:8" x14ac:dyDescent="0.25">
      <c r="A15" s="1"/>
      <c r="B15" s="204" t="s">
        <v>70</v>
      </c>
      <c r="C15" s="610" t="s">
        <v>177</v>
      </c>
      <c r="D15" s="610" t="s">
        <v>213</v>
      </c>
      <c r="E15" s="611" t="s">
        <v>468</v>
      </c>
      <c r="F15" s="88"/>
      <c r="G15" s="529"/>
      <c r="H15" s="157"/>
    </row>
    <row r="16" spans="1:8" x14ac:dyDescent="0.25">
      <c r="A16" s="274" t="s">
        <v>341</v>
      </c>
      <c r="B16" s="90" t="s">
        <v>472</v>
      </c>
      <c r="C16" s="321">
        <v>1.8</v>
      </c>
      <c r="D16" s="322">
        <v>1</v>
      </c>
      <c r="E16" s="613">
        <f>C16*D16*E14</f>
        <v>0.14530086724100597</v>
      </c>
      <c r="F16" s="515" t="s">
        <v>4</v>
      </c>
      <c r="G16" s="439">
        <f>C16*D16*G14</f>
        <v>0.14530086724094038</v>
      </c>
      <c r="H16" s="157">
        <f t="shared" ref="H16:H24" si="2">G16-E16</f>
        <v>-6.5586425179731123E-14</v>
      </c>
    </row>
    <row r="17" spans="1:12" ht="15.75" x14ac:dyDescent="0.25">
      <c r="A17" s="1"/>
      <c r="B17" s="605" t="s">
        <v>471</v>
      </c>
      <c r="C17" s="606"/>
      <c r="D17" s="607" t="s">
        <v>205</v>
      </c>
      <c r="E17" s="608">
        <f>E23+E26+E27</f>
        <v>2.0352332036835161</v>
      </c>
      <c r="F17" s="609" t="s">
        <v>4</v>
      </c>
      <c r="G17" s="527">
        <f>G23+G26+G27</f>
        <v>2.03523320368262</v>
      </c>
      <c r="H17" s="157">
        <f t="shared" si="2"/>
        <v>-8.9617202547742636E-13</v>
      </c>
    </row>
    <row r="18" spans="1:12" ht="18.75" x14ac:dyDescent="0.35">
      <c r="A18" s="1"/>
      <c r="B18" s="75" t="s">
        <v>206</v>
      </c>
      <c r="C18" s="319" t="s">
        <v>207</v>
      </c>
      <c r="D18" s="319" t="s">
        <v>208</v>
      </c>
      <c r="E18" s="488">
        <v>150</v>
      </c>
      <c r="F18" s="516"/>
      <c r="G18" s="494">
        <v>150</v>
      </c>
      <c r="H18" s="157">
        <f t="shared" si="2"/>
        <v>0</v>
      </c>
    </row>
    <row r="19" spans="1:12" x14ac:dyDescent="0.25">
      <c r="A19" s="1"/>
      <c r="B19" s="75" t="s">
        <v>340</v>
      </c>
      <c r="C19" s="74"/>
      <c r="D19" s="2"/>
      <c r="E19" s="517">
        <f>E5</f>
        <v>8.5999662091110523</v>
      </c>
      <c r="F19" s="516" t="s">
        <v>0</v>
      </c>
      <c r="G19" s="528">
        <f>G5</f>
        <v>8.5999662091091089</v>
      </c>
      <c r="H19" s="157">
        <f t="shared" si="2"/>
        <v>-1.943334382303874E-12</v>
      </c>
    </row>
    <row r="20" spans="1:12" x14ac:dyDescent="0.25">
      <c r="A20" s="1"/>
      <c r="B20" s="550" t="s">
        <v>210</v>
      </c>
      <c r="C20" s="551"/>
      <c r="D20" s="552"/>
      <c r="E20" s="553">
        <f>1.73+2.2+5.3+2*2+4.1+0.17</f>
        <v>17.5</v>
      </c>
      <c r="F20" s="554" t="s">
        <v>28</v>
      </c>
      <c r="G20" s="157">
        <f>1.73+2.2+5.3+2*2+4.1+0.17</f>
        <v>17.5</v>
      </c>
      <c r="H20" s="157">
        <f t="shared" si="2"/>
        <v>0</v>
      </c>
    </row>
    <row r="21" spans="1:12" x14ac:dyDescent="0.25">
      <c r="A21" s="1"/>
      <c r="B21" s="555" t="s">
        <v>211</v>
      </c>
      <c r="C21" s="551"/>
      <c r="D21" s="552"/>
      <c r="E21" s="553">
        <v>3</v>
      </c>
      <c r="F21" s="556" t="s">
        <v>8</v>
      </c>
      <c r="G21" s="157">
        <v>3</v>
      </c>
      <c r="H21" s="157">
        <f t="shared" si="2"/>
        <v>0</v>
      </c>
    </row>
    <row r="22" spans="1:12" x14ac:dyDescent="0.25">
      <c r="A22" s="1"/>
      <c r="B22" s="247" t="s">
        <v>212</v>
      </c>
      <c r="C22" s="96"/>
      <c r="D22" s="2"/>
      <c r="E22" s="77">
        <f>0.001*E19/(0.25*3.14*(0.0254*E21)^2)</f>
        <v>1.8867621067332909</v>
      </c>
      <c r="F22" s="319" t="s">
        <v>9</v>
      </c>
      <c r="G22" s="454">
        <f>0.001*G19/(0.25*3.14*(0.0254*G21)^2)</f>
        <v>1.8867621067328646</v>
      </c>
      <c r="H22" s="157">
        <f t="shared" si="2"/>
        <v>-4.2632564145606011E-13</v>
      </c>
    </row>
    <row r="23" spans="1:12" x14ac:dyDescent="0.25">
      <c r="A23" s="342" t="s">
        <v>364</v>
      </c>
      <c r="B23" s="248" t="s">
        <v>54</v>
      </c>
      <c r="C23" s="249"/>
      <c r="D23" s="2"/>
      <c r="E23" s="45">
        <f>(10.672*E20*(0.001*E19/E18)^1.852)/(0.0254*E21)^4.871</f>
        <v>0.72752539851446218</v>
      </c>
      <c r="F23" s="519" t="s">
        <v>4</v>
      </c>
      <c r="G23" s="439">
        <f>(10.672*G20*(0.001*G19/G18)^1.852)/(0.0254*G21)^4.871</f>
        <v>0.72752539851415732</v>
      </c>
      <c r="H23" s="157">
        <f t="shared" si="2"/>
        <v>-3.0486724256206799E-13</v>
      </c>
      <c r="L23" s="612"/>
    </row>
    <row r="24" spans="1:12" x14ac:dyDescent="0.25">
      <c r="A24" s="1"/>
      <c r="B24" s="247" t="s">
        <v>69</v>
      </c>
      <c r="C24" s="96"/>
      <c r="D24" s="2"/>
      <c r="E24" s="77">
        <f>E22^2/19.6</f>
        <v>0.18162608405125746</v>
      </c>
      <c r="F24" s="319" t="s">
        <v>4</v>
      </c>
      <c r="G24" s="454">
        <f>G22^2/19.6</f>
        <v>0.18162608405117536</v>
      </c>
      <c r="H24" s="157">
        <f t="shared" si="2"/>
        <v>-8.2100992671030326E-14</v>
      </c>
    </row>
    <row r="25" spans="1:12" x14ac:dyDescent="0.25">
      <c r="A25" s="1"/>
      <c r="B25" s="204" t="s">
        <v>70</v>
      </c>
      <c r="C25" s="610" t="s">
        <v>177</v>
      </c>
      <c r="D25" s="610" t="s">
        <v>213</v>
      </c>
      <c r="E25" s="611" t="s">
        <v>468</v>
      </c>
      <c r="F25" s="88"/>
      <c r="G25" s="529" t="s">
        <v>469</v>
      </c>
      <c r="H25" s="157"/>
    </row>
    <row r="26" spans="1:12" x14ac:dyDescent="0.25">
      <c r="A26" s="274" t="s">
        <v>341</v>
      </c>
      <c r="B26" s="90" t="s">
        <v>342</v>
      </c>
      <c r="C26" s="321">
        <v>0.9</v>
      </c>
      <c r="D26" s="322">
        <v>6</v>
      </c>
      <c r="E26" s="76">
        <f>C26*D26*E24</f>
        <v>0.98078085387679037</v>
      </c>
      <c r="F26" s="515" t="s">
        <v>4</v>
      </c>
      <c r="G26" s="157">
        <f>C26*D26*G24</f>
        <v>0.98078085387634706</v>
      </c>
      <c r="H26" s="157">
        <f>G26-E26</f>
        <v>-4.4331205373282501E-13</v>
      </c>
    </row>
    <row r="27" spans="1:12" x14ac:dyDescent="0.25">
      <c r="A27" s="274"/>
      <c r="B27" s="90" t="s">
        <v>472</v>
      </c>
      <c r="C27" s="321">
        <v>1.8</v>
      </c>
      <c r="D27" s="322">
        <v>1</v>
      </c>
      <c r="E27" s="76">
        <f>C27*D27*E24</f>
        <v>0.32692695129226346</v>
      </c>
      <c r="F27" s="515" t="s">
        <v>4</v>
      </c>
      <c r="G27" s="157">
        <f>C27*D27*G24</f>
        <v>0.32692695129211569</v>
      </c>
      <c r="H27" s="157">
        <f>G27-E27</f>
        <v>-1.4777068457760834E-13</v>
      </c>
    </row>
    <row r="35" spans="1:8" ht="30" customHeight="1" x14ac:dyDescent="0.25">
      <c r="A35" s="506" t="s">
        <v>138</v>
      </c>
      <c r="B35" s="507"/>
      <c r="C35" s="2"/>
      <c r="D35" s="2"/>
      <c r="E35" s="2"/>
      <c r="F35" s="15"/>
      <c r="G35" s="393" t="s">
        <v>139</v>
      </c>
      <c r="H35" s="394" t="s">
        <v>140</v>
      </c>
    </row>
    <row r="36" spans="1:8" ht="21" customHeight="1" x14ac:dyDescent="0.25">
      <c r="A36" s="340"/>
      <c r="B36" s="507"/>
      <c r="C36" s="508" t="s">
        <v>329</v>
      </c>
      <c r="D36" s="2"/>
      <c r="E36" s="2"/>
      <c r="F36" s="2"/>
      <c r="G36" s="524"/>
      <c r="H36" s="157"/>
    </row>
    <row r="37" spans="1:8" x14ac:dyDescent="0.25">
      <c r="A37" s="340"/>
      <c r="B37" s="509" t="s">
        <v>418</v>
      </c>
      <c r="C37" s="311"/>
      <c r="D37" s="510"/>
      <c r="E37" s="511">
        <f>E38+E50</f>
        <v>1.8000762256820588</v>
      </c>
      <c r="F37" s="512" t="s">
        <v>4</v>
      </c>
      <c r="G37" s="527">
        <f>G38+G50</f>
        <v>1.8000762256820588</v>
      </c>
      <c r="H37" s="157">
        <f t="shared" ref="H37:H56" si="3">G37-E37</f>
        <v>0</v>
      </c>
    </row>
    <row r="38" spans="1:8" ht="15.75" x14ac:dyDescent="0.25">
      <c r="A38" s="1"/>
      <c r="B38" s="341" t="s">
        <v>330</v>
      </c>
      <c r="C38" s="526" t="s">
        <v>431</v>
      </c>
      <c r="D38" s="513"/>
      <c r="E38" s="514">
        <f>E44+SUM(E47:E49)</f>
        <v>0.47077510954182716</v>
      </c>
      <c r="F38" s="515" t="s">
        <v>4</v>
      </c>
      <c r="G38" s="527">
        <f>G44+SUM(G47:G49)</f>
        <v>0.47077510954182716</v>
      </c>
      <c r="H38" s="157">
        <f t="shared" si="3"/>
        <v>0</v>
      </c>
    </row>
    <row r="39" spans="1:8" ht="18.75" x14ac:dyDescent="0.35">
      <c r="A39" s="1"/>
      <c r="B39" s="90" t="s">
        <v>206</v>
      </c>
      <c r="C39" s="319" t="s">
        <v>207</v>
      </c>
      <c r="D39" s="319" t="s">
        <v>208</v>
      </c>
      <c r="E39" s="488">
        <v>150</v>
      </c>
      <c r="F39" s="516"/>
      <c r="G39" s="494">
        <v>150</v>
      </c>
      <c r="H39" s="157">
        <f t="shared" si="3"/>
        <v>0</v>
      </c>
    </row>
    <row r="40" spans="1:8" x14ac:dyDescent="0.25">
      <c r="A40" s="342" t="s">
        <v>446</v>
      </c>
      <c r="B40" s="75" t="s">
        <v>331</v>
      </c>
      <c r="C40" s="74"/>
      <c r="D40" s="2"/>
      <c r="E40" s="517">
        <f>'Planta MBBR'!E81</f>
        <v>7.281627145338553</v>
      </c>
      <c r="F40" s="516" t="s">
        <v>0</v>
      </c>
      <c r="G40" s="528">
        <f>'Planta MBBR'!G81</f>
        <v>7.281627145338553</v>
      </c>
      <c r="H40" s="157">
        <f t="shared" si="3"/>
        <v>0</v>
      </c>
    </row>
    <row r="41" spans="1:8" x14ac:dyDescent="0.25">
      <c r="A41" s="1"/>
      <c r="B41" s="550" t="s">
        <v>210</v>
      </c>
      <c r="C41" s="551"/>
      <c r="D41" s="552"/>
      <c r="E41" s="553">
        <f>2+0.45+0.6</f>
        <v>3.0500000000000003</v>
      </c>
      <c r="F41" s="554" t="s">
        <v>28</v>
      </c>
      <c r="G41" s="157">
        <f>2+0.45+0.6</f>
        <v>3.0500000000000003</v>
      </c>
      <c r="H41" s="157">
        <f t="shared" si="3"/>
        <v>0</v>
      </c>
    </row>
    <row r="42" spans="1:8" x14ac:dyDescent="0.25">
      <c r="A42" s="1"/>
      <c r="B42" s="555" t="s">
        <v>211</v>
      </c>
      <c r="C42" s="551"/>
      <c r="D42" s="552"/>
      <c r="E42" s="553">
        <v>3</v>
      </c>
      <c r="F42" s="556" t="s">
        <v>8</v>
      </c>
      <c r="G42" s="157">
        <v>3</v>
      </c>
      <c r="H42" s="157">
        <f t="shared" si="3"/>
        <v>0</v>
      </c>
    </row>
    <row r="43" spans="1:8" x14ac:dyDescent="0.25">
      <c r="A43" s="1"/>
      <c r="B43" s="247" t="s">
        <v>212</v>
      </c>
      <c r="C43" s="96"/>
      <c r="D43" s="2"/>
      <c r="E43" s="77">
        <f>0.001*E40/(0.25*3.14*(0.0254*E42)^2)</f>
        <v>1.5975293203629237</v>
      </c>
      <c r="F43" s="319" t="s">
        <v>9</v>
      </c>
      <c r="G43" s="454">
        <f>0.001*G40/(0.25*3.14*(0.0254*G42)^2)</f>
        <v>1.5975293203629237</v>
      </c>
      <c r="H43" s="157">
        <f t="shared" si="3"/>
        <v>0</v>
      </c>
    </row>
    <row r="44" spans="1:8" x14ac:dyDescent="0.25">
      <c r="A44" s="342" t="s">
        <v>364</v>
      </c>
      <c r="B44" s="248" t="s">
        <v>54</v>
      </c>
      <c r="C44" s="249"/>
      <c r="D44" s="2"/>
      <c r="E44" s="45">
        <f>(10.672*E41*(0.001*E40/E39)^1.852)/(0.0254*E42)^4.871</f>
        <v>9.31684873318398E-2</v>
      </c>
      <c r="F44" s="519" t="s">
        <v>4</v>
      </c>
      <c r="G44" s="439">
        <f>(10.672*G41*(0.001*G40/G39)^1.852)/(0.0254*G42)^4.871</f>
        <v>9.31684873318398E-2</v>
      </c>
      <c r="H44" s="157">
        <f t="shared" si="3"/>
        <v>0</v>
      </c>
    </row>
    <row r="45" spans="1:8" x14ac:dyDescent="0.25">
      <c r="A45" s="1"/>
      <c r="B45" s="247" t="s">
        <v>69</v>
      </c>
      <c r="C45" s="96"/>
      <c r="D45" s="2"/>
      <c r="E45" s="77">
        <f>E43^2/19.6</f>
        <v>0.13020918007240942</v>
      </c>
      <c r="F45" s="319" t="s">
        <v>4</v>
      </c>
      <c r="G45" s="454">
        <f>G43^2/19.6</f>
        <v>0.13020918007240942</v>
      </c>
      <c r="H45" s="157">
        <f t="shared" si="3"/>
        <v>0</v>
      </c>
    </row>
    <row r="46" spans="1:8" x14ac:dyDescent="0.25">
      <c r="A46" s="1"/>
      <c r="B46" s="204" t="s">
        <v>70</v>
      </c>
      <c r="C46" s="520" t="s">
        <v>177</v>
      </c>
      <c r="D46" s="163" t="s">
        <v>213</v>
      </c>
      <c r="E46" s="521" t="s">
        <v>214</v>
      </c>
      <c r="F46" s="2"/>
      <c r="G46" s="529"/>
      <c r="H46" s="157"/>
    </row>
    <row r="47" spans="1:8" x14ac:dyDescent="0.25">
      <c r="A47" s="274" t="s">
        <v>341</v>
      </c>
      <c r="B47" s="90" t="s">
        <v>216</v>
      </c>
      <c r="C47" s="321">
        <v>1.8</v>
      </c>
      <c r="D47" s="322">
        <v>1</v>
      </c>
      <c r="E47" s="76">
        <f>C47*D47*E45</f>
        <v>0.23437652413033697</v>
      </c>
      <c r="F47" s="515" t="s">
        <v>4</v>
      </c>
      <c r="G47" s="157">
        <f>C47*D47*$G$45</f>
        <v>0.23437652413033697</v>
      </c>
      <c r="H47" s="157">
        <f t="shared" si="3"/>
        <v>0</v>
      </c>
    </row>
    <row r="48" spans="1:8" x14ac:dyDescent="0.25">
      <c r="A48" s="274" t="s">
        <v>341</v>
      </c>
      <c r="B48" s="90" t="s">
        <v>217</v>
      </c>
      <c r="C48" s="321">
        <v>0.9</v>
      </c>
      <c r="D48" s="322">
        <v>1</v>
      </c>
      <c r="E48" s="76">
        <f>C48*D48*E45</f>
        <v>0.11718826206516848</v>
      </c>
      <c r="F48" s="515" t="s">
        <v>4</v>
      </c>
      <c r="G48" s="157">
        <f t="shared" ref="G48:G49" si="4">C48*D48*$G$45</f>
        <v>0.11718826206516848</v>
      </c>
      <c r="H48" s="157">
        <f t="shared" si="3"/>
        <v>0</v>
      </c>
    </row>
    <row r="49" spans="1:8" x14ac:dyDescent="0.25">
      <c r="A49" s="274" t="s">
        <v>341</v>
      </c>
      <c r="B49" s="90" t="s">
        <v>332</v>
      </c>
      <c r="C49" s="321">
        <v>0.2</v>
      </c>
      <c r="D49" s="322">
        <v>1</v>
      </c>
      <c r="E49" s="76">
        <f>C49*D49*E45</f>
        <v>2.6041836014481887E-2</v>
      </c>
      <c r="F49" s="515" t="s">
        <v>4</v>
      </c>
      <c r="G49" s="157">
        <f t="shared" si="4"/>
        <v>2.6041836014481887E-2</v>
      </c>
      <c r="H49" s="157">
        <f t="shared" si="3"/>
        <v>0</v>
      </c>
    </row>
    <row r="50" spans="1:8" ht="15.75" x14ac:dyDescent="0.25">
      <c r="A50" s="1"/>
      <c r="B50" s="341" t="s">
        <v>333</v>
      </c>
      <c r="C50" s="526" t="s">
        <v>432</v>
      </c>
      <c r="D50" s="522"/>
      <c r="E50" s="523">
        <f>E56</f>
        <v>1.3293011161402317</v>
      </c>
      <c r="F50" s="515" t="s">
        <v>4</v>
      </c>
      <c r="G50" s="157">
        <f>G56</f>
        <v>1.3293011161402317</v>
      </c>
      <c r="H50" s="157">
        <f t="shared" si="3"/>
        <v>0</v>
      </c>
    </row>
    <row r="51" spans="1:8" x14ac:dyDescent="0.25">
      <c r="A51" s="589" t="s">
        <v>446</v>
      </c>
      <c r="B51" s="557" t="s">
        <v>366</v>
      </c>
      <c r="C51" s="558"/>
      <c r="D51" s="552"/>
      <c r="E51" s="559">
        <f>'Planta MBBR'!E76</f>
        <v>3</v>
      </c>
      <c r="F51" s="560" t="s">
        <v>8</v>
      </c>
      <c r="G51" s="525">
        <f>'Planta MBBR'!G76</f>
        <v>3</v>
      </c>
      <c r="H51" s="157">
        <f t="shared" si="3"/>
        <v>0</v>
      </c>
    </row>
    <row r="52" spans="1:8" x14ac:dyDescent="0.25">
      <c r="A52" s="1"/>
      <c r="B52" s="75" t="s">
        <v>331</v>
      </c>
      <c r="C52" s="74"/>
      <c r="D52" s="2"/>
      <c r="E52" s="156">
        <f>E40</f>
        <v>7.281627145338553</v>
      </c>
      <c r="F52" s="278" t="s">
        <v>0</v>
      </c>
      <c r="G52" s="489">
        <f>G40</f>
        <v>7.281627145338553</v>
      </c>
      <c r="H52" s="157">
        <f t="shared" si="3"/>
        <v>0</v>
      </c>
    </row>
    <row r="53" spans="1:8" x14ac:dyDescent="0.25">
      <c r="A53" s="274" t="s">
        <v>363</v>
      </c>
      <c r="B53" s="320" t="s">
        <v>334</v>
      </c>
      <c r="C53" s="74"/>
      <c r="D53" s="2"/>
      <c r="E53" s="305">
        <f>'Valvula Flotador'!B6</f>
        <v>43</v>
      </c>
      <c r="F53" s="518" t="s">
        <v>29</v>
      </c>
      <c r="G53" s="525">
        <f>'Valvula Flotador'!B6</f>
        <v>43</v>
      </c>
      <c r="H53" s="157">
        <f t="shared" si="3"/>
        <v>0</v>
      </c>
    </row>
    <row r="54" spans="1:8" x14ac:dyDescent="0.25">
      <c r="A54" s="1"/>
      <c r="B54" s="247" t="s">
        <v>212</v>
      </c>
      <c r="C54" s="96"/>
      <c r="D54" s="2"/>
      <c r="E54" s="77">
        <f>0.001*E52/(3.14*(0.001*E53)^2/4)</f>
        <v>5.01674318384429</v>
      </c>
      <c r="F54" s="319" t="s">
        <v>9</v>
      </c>
      <c r="G54" s="454">
        <f>0.001*G52/(3.14*(0.001*G53)^2/4)</f>
        <v>5.01674318384429</v>
      </c>
      <c r="H54" s="157">
        <f t="shared" si="3"/>
        <v>0</v>
      </c>
    </row>
    <row r="55" spans="1:8" x14ac:dyDescent="0.25">
      <c r="A55" s="274" t="s">
        <v>363</v>
      </c>
      <c r="B55" s="247" t="s">
        <v>335</v>
      </c>
      <c r="C55" s="96" t="s">
        <v>177</v>
      </c>
      <c r="D55" s="2"/>
      <c r="E55" s="77">
        <f>'Valvula Flotador'!F19</f>
        <v>1.0352272664920226</v>
      </c>
      <c r="F55" s="319"/>
      <c r="G55" s="454">
        <f>'Valvula Flotador'!F19</f>
        <v>1.0352272664920226</v>
      </c>
      <c r="H55" s="157">
        <f t="shared" si="3"/>
        <v>0</v>
      </c>
    </row>
    <row r="56" spans="1:8" x14ac:dyDescent="0.25">
      <c r="A56" s="274" t="s">
        <v>365</v>
      </c>
      <c r="B56" s="248" t="s">
        <v>336</v>
      </c>
      <c r="C56" s="249"/>
      <c r="D56" s="2"/>
      <c r="E56" s="45">
        <f>E55*E54^2/19.6</f>
        <v>1.3293011161402317</v>
      </c>
      <c r="F56" s="519" t="s">
        <v>4</v>
      </c>
      <c r="G56" s="439">
        <f>G55*G54^2/19.6</f>
        <v>1.3293011161402317</v>
      </c>
      <c r="H56" s="157">
        <f t="shared" si="3"/>
        <v>0</v>
      </c>
    </row>
    <row r="75" spans="11:15" x14ac:dyDescent="0.25">
      <c r="K75" s="248"/>
      <c r="L75" s="249"/>
      <c r="M75" s="2"/>
      <c r="N75" s="45"/>
      <c r="O75" s="519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84738-5A71-40DB-B83A-29D9414DD77A}">
  <dimension ref="A1:G35"/>
  <sheetViews>
    <sheetView showGridLines="0" workbookViewId="0">
      <selection activeCell="K27" sqref="K27"/>
    </sheetView>
  </sheetViews>
  <sheetFormatPr baseColWidth="10" defaultRowHeight="15" x14ac:dyDescent="0.25"/>
  <cols>
    <col min="1" max="1" width="19.7109375" style="84" customWidth="1"/>
    <col min="2" max="2" width="15.140625" style="84" customWidth="1"/>
    <col min="3" max="3" width="6.42578125" style="84" customWidth="1"/>
    <col min="4" max="4" width="10.7109375" customWidth="1"/>
    <col min="5" max="5" width="5.7109375" customWidth="1"/>
    <col min="6" max="9" width="10.7109375" customWidth="1"/>
  </cols>
  <sheetData>
    <row r="1" spans="1:7" ht="38.25" customHeight="1" x14ac:dyDescent="0.25">
      <c r="A1" s="687" t="s">
        <v>171</v>
      </c>
      <c r="B1" s="688"/>
      <c r="C1" s="117"/>
      <c r="D1" s="52"/>
      <c r="E1" s="9"/>
    </row>
    <row r="2" spans="1:7" ht="30.75" customHeight="1" x14ac:dyDescent="0.25">
      <c r="A2" s="112" t="s">
        <v>169</v>
      </c>
      <c r="B2" s="154" t="s">
        <v>168</v>
      </c>
      <c r="C2" s="118"/>
      <c r="D2" s="685"/>
      <c r="E2" s="686"/>
      <c r="F2" s="9"/>
      <c r="G2" s="9"/>
    </row>
    <row r="3" spans="1:7" ht="24" customHeight="1" x14ac:dyDescent="0.25">
      <c r="A3" s="113">
        <v>1</v>
      </c>
      <c r="B3" s="155">
        <v>14.3</v>
      </c>
      <c r="C3" s="118"/>
      <c r="D3" s="151"/>
      <c r="E3" s="152"/>
      <c r="F3" s="9"/>
      <c r="G3" s="9"/>
    </row>
    <row r="4" spans="1:7" x14ac:dyDescent="0.25">
      <c r="A4" s="113">
        <v>1.5</v>
      </c>
      <c r="B4" s="155">
        <v>24</v>
      </c>
      <c r="C4" s="118"/>
      <c r="D4" s="119"/>
      <c r="E4" s="13"/>
    </row>
    <row r="5" spans="1:7" x14ac:dyDescent="0.25">
      <c r="A5" s="113">
        <v>2</v>
      </c>
      <c r="B5" s="155">
        <v>27.5</v>
      </c>
      <c r="C5" s="118"/>
      <c r="D5" s="119"/>
      <c r="E5" s="13"/>
    </row>
    <row r="6" spans="1:7" x14ac:dyDescent="0.25">
      <c r="A6" s="113">
        <v>3</v>
      </c>
      <c r="B6" s="155">
        <v>43</v>
      </c>
      <c r="C6" s="118"/>
      <c r="D6" s="119"/>
      <c r="E6" s="13"/>
    </row>
    <row r="8" spans="1:7" x14ac:dyDescent="0.25">
      <c r="A8" s="689" t="s">
        <v>174</v>
      </c>
      <c r="B8" s="689"/>
      <c r="C8" s="690"/>
      <c r="D8" s="690"/>
      <c r="E8" s="690"/>
      <c r="F8" s="690"/>
      <c r="G8" s="690"/>
    </row>
    <row r="9" spans="1:7" x14ac:dyDescent="0.25">
      <c r="A9" s="121" t="s">
        <v>167</v>
      </c>
      <c r="B9" s="143">
        <v>1.5</v>
      </c>
      <c r="C9" s="124" t="s">
        <v>8</v>
      </c>
      <c r="D9" s="122">
        <v>2</v>
      </c>
      <c r="E9" s="123" t="s">
        <v>8</v>
      </c>
      <c r="F9" s="143">
        <v>3</v>
      </c>
      <c r="G9" s="124" t="s">
        <v>8</v>
      </c>
    </row>
    <row r="10" spans="1:7" x14ac:dyDescent="0.25">
      <c r="A10" s="121" t="s">
        <v>166</v>
      </c>
      <c r="B10" s="143">
        <v>10</v>
      </c>
      <c r="C10" s="124" t="s">
        <v>42</v>
      </c>
      <c r="D10" s="122">
        <v>10</v>
      </c>
      <c r="E10" s="123" t="s">
        <v>42</v>
      </c>
      <c r="F10" s="143">
        <v>10</v>
      </c>
      <c r="G10" s="124" t="s">
        <v>42</v>
      </c>
    </row>
    <row r="11" spans="1:7" x14ac:dyDescent="0.25">
      <c r="A11" s="130"/>
      <c r="B11" s="144">
        <f>B10*0.707</f>
        <v>7.0699999999999994</v>
      </c>
      <c r="C11" s="132" t="s">
        <v>4</v>
      </c>
      <c r="D11" s="131">
        <f>D10*0.707</f>
        <v>7.0699999999999994</v>
      </c>
      <c r="E11" s="131" t="s">
        <v>4</v>
      </c>
      <c r="F11" s="144">
        <f>F10*0.707</f>
        <v>7.0699999999999994</v>
      </c>
      <c r="G11" s="132" t="s">
        <v>4</v>
      </c>
    </row>
    <row r="12" spans="1:7" x14ac:dyDescent="0.25">
      <c r="A12" s="125" t="s">
        <v>31</v>
      </c>
      <c r="B12" s="145">
        <v>85</v>
      </c>
      <c r="C12" s="126" t="s">
        <v>43</v>
      </c>
      <c r="D12" s="116">
        <v>112</v>
      </c>
      <c r="E12" s="84" t="s">
        <v>43</v>
      </c>
      <c r="F12" s="145">
        <v>266</v>
      </c>
      <c r="G12" s="126" t="s">
        <v>43</v>
      </c>
    </row>
    <row r="13" spans="1:7" x14ac:dyDescent="0.25">
      <c r="A13" s="125"/>
      <c r="B13" s="146">
        <f>B12/15.84</f>
        <v>5.3661616161616159</v>
      </c>
      <c r="C13" s="129" t="s">
        <v>0</v>
      </c>
      <c r="D13" s="128">
        <f>D12/15.84</f>
        <v>7.0707070707070709</v>
      </c>
      <c r="E13" t="s">
        <v>0</v>
      </c>
      <c r="F13" s="146">
        <f>F12/15.84</f>
        <v>16.792929292929294</v>
      </c>
      <c r="G13" s="127" t="s">
        <v>0</v>
      </c>
    </row>
    <row r="14" spans="1:7" x14ac:dyDescent="0.25">
      <c r="A14" s="121" t="s">
        <v>168</v>
      </c>
      <c r="B14" s="147">
        <v>24</v>
      </c>
      <c r="C14" s="135" t="s">
        <v>29</v>
      </c>
      <c r="D14" s="134">
        <v>27.5</v>
      </c>
      <c r="E14" s="133" t="s">
        <v>29</v>
      </c>
      <c r="F14" s="147">
        <v>43</v>
      </c>
      <c r="G14" s="135" t="s">
        <v>29</v>
      </c>
    </row>
    <row r="15" spans="1:7" x14ac:dyDescent="0.25">
      <c r="A15" s="130"/>
      <c r="B15" s="148">
        <f>B14/1000</f>
        <v>2.4E-2</v>
      </c>
      <c r="C15" s="138" t="s">
        <v>4</v>
      </c>
      <c r="D15" s="136">
        <f>D14/1000</f>
        <v>2.75E-2</v>
      </c>
      <c r="E15" s="137" t="s">
        <v>4</v>
      </c>
      <c r="F15" s="148">
        <f>F14/1000</f>
        <v>4.2999999999999997E-2</v>
      </c>
      <c r="G15" s="138" t="s">
        <v>4</v>
      </c>
    </row>
    <row r="16" spans="1:7" x14ac:dyDescent="0.25">
      <c r="A16" s="139" t="s">
        <v>164</v>
      </c>
      <c r="B16" s="149">
        <f>0.25*3.14*(B15)^2</f>
        <v>4.5216000000000001E-4</v>
      </c>
      <c r="C16" s="14" t="s">
        <v>3</v>
      </c>
      <c r="D16" s="140">
        <f>0.25*3.14*(D15)^2</f>
        <v>5.9365625E-4</v>
      </c>
      <c r="E16" s="141" t="s">
        <v>3</v>
      </c>
      <c r="F16" s="149">
        <f>0.25*3.14*(F15)^2</f>
        <v>1.4514649999999999E-3</v>
      </c>
      <c r="G16" s="14" t="s">
        <v>3</v>
      </c>
    </row>
    <row r="17" spans="1:7" x14ac:dyDescent="0.25">
      <c r="A17" s="139" t="s">
        <v>165</v>
      </c>
      <c r="B17" s="150">
        <f>0.001*B13/B16</f>
        <v>11.86783796921801</v>
      </c>
      <c r="C17" s="15" t="s">
        <v>9</v>
      </c>
      <c r="D17" s="142">
        <f>0.001*D13/D16</f>
        <v>11.910439872749713</v>
      </c>
      <c r="E17" s="2" t="s">
        <v>9</v>
      </c>
      <c r="F17" s="150">
        <f>0.001*F13/F16</f>
        <v>11.569641219684453</v>
      </c>
      <c r="G17" s="15" t="s">
        <v>9</v>
      </c>
    </row>
    <row r="18" spans="1:7" x14ac:dyDescent="0.25">
      <c r="A18" s="139" t="s">
        <v>53</v>
      </c>
      <c r="B18" s="150">
        <f>B17^2/19.6</f>
        <v>7.1859988807965642</v>
      </c>
      <c r="C18" s="15" t="s">
        <v>4</v>
      </c>
      <c r="D18" s="142">
        <f>D17^2/19.6</f>
        <v>7.2376825491013355</v>
      </c>
      <c r="E18" s="2" t="s">
        <v>4</v>
      </c>
      <c r="F18" s="150">
        <f>F17^2/19.6</f>
        <v>6.8294182628684466</v>
      </c>
      <c r="G18" s="15" t="s">
        <v>4</v>
      </c>
    </row>
    <row r="19" spans="1:7" x14ac:dyDescent="0.25">
      <c r="A19" s="139" t="s">
        <v>175</v>
      </c>
      <c r="B19" s="150">
        <f>B11/B18</f>
        <v>0.98385765392942748</v>
      </c>
      <c r="C19" s="15"/>
      <c r="D19" s="142">
        <f>D11/D18</f>
        <v>0.97683201108037598</v>
      </c>
      <c r="E19" s="2"/>
      <c r="F19" s="150">
        <f>F11/F18</f>
        <v>1.0352272664920226</v>
      </c>
      <c r="G19" s="15"/>
    </row>
    <row r="20" spans="1:7" x14ac:dyDescent="0.25">
      <c r="A20" s="691" t="s">
        <v>176</v>
      </c>
      <c r="B20" s="692"/>
      <c r="C20" s="692"/>
      <c r="D20" s="692"/>
      <c r="E20" s="153">
        <f>AVERAGE(B19:G19)</f>
        <v>0.99863897716727534</v>
      </c>
      <c r="F20" s="116"/>
      <c r="G20" s="84"/>
    </row>
    <row r="21" spans="1:7" x14ac:dyDescent="0.25">
      <c r="B21" s="116"/>
    </row>
    <row r="22" spans="1:7" x14ac:dyDescent="0.25">
      <c r="B22" s="116"/>
    </row>
    <row r="23" spans="1:7" x14ac:dyDescent="0.25">
      <c r="B23" s="116"/>
    </row>
    <row r="34" spans="1:3" x14ac:dyDescent="0.25">
      <c r="A34" s="116" t="s">
        <v>163</v>
      </c>
    </row>
    <row r="35" spans="1:3" x14ac:dyDescent="0.25">
      <c r="A35" s="120" t="s">
        <v>170</v>
      </c>
      <c r="C35"/>
    </row>
  </sheetData>
  <mergeCells count="4">
    <mergeCell ref="D2:E2"/>
    <mergeCell ref="A1:B1"/>
    <mergeCell ref="A8:G8"/>
    <mergeCell ref="A20:D20"/>
  </mergeCells>
  <hyperlinks>
    <hyperlink ref="A35" r:id="rId1" xr:uid="{50DE0C7B-6EEB-4A9D-9C6D-1069D6A03101}"/>
  </hyperlinks>
  <pageMargins left="0.7" right="0.7" top="0.75" bottom="0.75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Parrilla Nitrificación Parcial</vt:lpstr>
      <vt:lpstr>Planta MBBR</vt:lpstr>
      <vt:lpstr>Lecho de Secado</vt:lpstr>
      <vt:lpstr>Agua- T°C</vt:lpstr>
      <vt:lpstr>Nitrificación</vt:lpstr>
      <vt:lpstr>Tubería de Aireación</vt:lpstr>
      <vt:lpstr>Tuberías Varias</vt:lpstr>
      <vt:lpstr>Valvula Flotador</vt:lpstr>
      <vt:lpstr>'Planta MBBR'!_ftn1</vt:lpstr>
      <vt:lpstr>'Planta MBBR'!_ftnref1</vt:lpstr>
      <vt:lpstr>'Planta MBBR'!_Hlk31032396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Carlos Paez</cp:lastModifiedBy>
  <cp:lastPrinted>2013-06-23T19:08:58Z</cp:lastPrinted>
  <dcterms:created xsi:type="dcterms:W3CDTF">2010-07-01T13:55:26Z</dcterms:created>
  <dcterms:modified xsi:type="dcterms:W3CDTF">2023-09-14T14:56:47Z</dcterms:modified>
</cp:coreProperties>
</file>